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ex pays prod 2012"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094" i="1"/>
  <c r="B1094" i="1"/>
  <c r="A16" i="1"/>
  <c r="B16" i="1"/>
  <c r="A17" i="1"/>
  <c r="B17" i="1"/>
  <c r="A18" i="1"/>
  <c r="B18" i="1"/>
  <c r="A19" i="1"/>
  <c r="B19" i="1"/>
  <c r="A20" i="1"/>
  <c r="A21" i="1"/>
  <c r="A22" i="1"/>
  <c r="B22" i="1"/>
  <c r="A23" i="1"/>
  <c r="B23" i="1"/>
  <c r="A24" i="1"/>
  <c r="A25" i="1"/>
  <c r="A26" i="1"/>
  <c r="B26" i="1"/>
  <c r="A27" i="1"/>
  <c r="A28" i="1"/>
  <c r="B28" i="1"/>
  <c r="A29" i="1"/>
  <c r="B29" i="1"/>
  <c r="A30" i="1"/>
  <c r="B30" i="1"/>
  <c r="A31" i="1"/>
  <c r="A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A48" i="1"/>
  <c r="B48" i="1"/>
  <c r="A49" i="1"/>
  <c r="A50" i="1"/>
  <c r="B50" i="1"/>
  <c r="A51" i="1"/>
  <c r="B51" i="1"/>
  <c r="A52" i="1"/>
  <c r="B52" i="1"/>
  <c r="A53" i="1"/>
  <c r="A54" i="1"/>
  <c r="A55" i="1"/>
  <c r="B55" i="1"/>
  <c r="A56" i="1"/>
  <c r="A57" i="1"/>
  <c r="B57" i="1"/>
  <c r="A58" i="1"/>
  <c r="B58" i="1"/>
  <c r="A59" i="1"/>
  <c r="B59" i="1"/>
  <c r="A60" i="1"/>
  <c r="A61" i="1"/>
  <c r="A62" i="1"/>
  <c r="A63" i="1"/>
  <c r="B63" i="1"/>
  <c r="A64" i="1"/>
  <c r="B64" i="1"/>
  <c r="A65" i="1"/>
  <c r="B65" i="1"/>
  <c r="A66" i="1"/>
  <c r="B66" i="1"/>
  <c r="A67" i="1"/>
  <c r="B67" i="1"/>
  <c r="A68" i="1"/>
  <c r="B68" i="1"/>
  <c r="A69" i="1"/>
  <c r="A70" i="1"/>
  <c r="B70" i="1"/>
  <c r="A71" i="1"/>
  <c r="B71" i="1"/>
  <c r="A72" i="1"/>
  <c r="B72" i="1"/>
  <c r="A73" i="1"/>
  <c r="B73" i="1"/>
  <c r="A74" i="1"/>
  <c r="A75" i="1"/>
  <c r="A76" i="1"/>
  <c r="B76" i="1"/>
  <c r="A77" i="1"/>
  <c r="B77" i="1"/>
  <c r="A78" i="1"/>
  <c r="B78" i="1"/>
  <c r="A79" i="1"/>
  <c r="B79" i="1"/>
  <c r="A80" i="1"/>
  <c r="A81" i="1"/>
  <c r="B81" i="1"/>
  <c r="A82" i="1"/>
  <c r="B82" i="1"/>
  <c r="A83" i="1"/>
  <c r="B83" i="1"/>
  <c r="A84" i="1"/>
  <c r="B84" i="1"/>
  <c r="A85" i="1"/>
  <c r="B85" i="1"/>
  <c r="A86" i="1"/>
  <c r="B86" i="1"/>
  <c r="A87" i="1"/>
  <c r="B87" i="1"/>
  <c r="A88" i="1"/>
  <c r="B88" i="1"/>
  <c r="A89" i="1"/>
  <c r="B89" i="1"/>
  <c r="A90" i="1"/>
  <c r="B90" i="1"/>
  <c r="A91" i="1"/>
  <c r="A92" i="1"/>
  <c r="A93" i="1"/>
  <c r="A94" i="1"/>
  <c r="A95" i="1"/>
  <c r="A96" i="1"/>
  <c r="B96" i="1"/>
  <c r="A97" i="1"/>
  <c r="B97" i="1"/>
  <c r="A98" i="1"/>
  <c r="B98" i="1"/>
  <c r="A99" i="1"/>
  <c r="B99" i="1"/>
  <c r="A100" i="1"/>
  <c r="B100" i="1"/>
  <c r="A101" i="1"/>
  <c r="B101" i="1"/>
  <c r="A102" i="1"/>
  <c r="A103" i="1"/>
  <c r="A104" i="1"/>
  <c r="A105" i="1"/>
  <c r="B105" i="1"/>
  <c r="A106" i="1"/>
  <c r="B106" i="1"/>
  <c r="A107" i="1"/>
  <c r="B107" i="1"/>
  <c r="A108" i="1"/>
  <c r="B108" i="1"/>
  <c r="A109" i="1"/>
  <c r="B109" i="1"/>
  <c r="A110" i="1"/>
  <c r="A111" i="1"/>
  <c r="B111" i="1"/>
  <c r="A112" i="1"/>
  <c r="B112" i="1"/>
  <c r="A113" i="1"/>
  <c r="B113" i="1"/>
  <c r="A114" i="1"/>
  <c r="B114" i="1"/>
  <c r="A115" i="1"/>
  <c r="B115" i="1"/>
  <c r="A116" i="1"/>
  <c r="A117" i="1"/>
  <c r="B117" i="1"/>
  <c r="A118" i="1"/>
  <c r="B118" i="1"/>
  <c r="A119" i="1"/>
  <c r="B119" i="1"/>
  <c r="A120" i="1"/>
  <c r="A121" i="1"/>
  <c r="B121" i="1"/>
  <c r="A122" i="1"/>
  <c r="B122" i="1"/>
  <c r="A123" i="1"/>
  <c r="B123" i="1"/>
  <c r="A124" i="1"/>
  <c r="B124" i="1"/>
  <c r="A125" i="1"/>
  <c r="B125" i="1"/>
  <c r="A126" i="1"/>
  <c r="B126" i="1"/>
  <c r="A127" i="1"/>
  <c r="B127" i="1"/>
  <c r="A128" i="1"/>
  <c r="B128" i="1"/>
  <c r="A129" i="1"/>
  <c r="B129" i="1"/>
  <c r="A130" i="1"/>
  <c r="A131" i="1"/>
  <c r="B131" i="1"/>
  <c r="A132" i="1"/>
  <c r="B132" i="1"/>
  <c r="A133" i="1"/>
  <c r="A134" i="1"/>
  <c r="A135" i="1"/>
  <c r="A136" i="1"/>
  <c r="B136" i="1"/>
  <c r="A137" i="1"/>
  <c r="B137" i="1"/>
  <c r="A138" i="1"/>
  <c r="B138" i="1"/>
  <c r="A139" i="1"/>
  <c r="B139" i="1"/>
  <c r="A140" i="1"/>
  <c r="B140" i="1"/>
  <c r="A141" i="1"/>
  <c r="B141" i="1"/>
  <c r="A142" i="1"/>
  <c r="B142" i="1"/>
  <c r="A143" i="1"/>
  <c r="B143" i="1"/>
  <c r="A144" i="1"/>
  <c r="B144" i="1"/>
  <c r="A145" i="1"/>
  <c r="A146" i="1"/>
  <c r="A147" i="1"/>
  <c r="A148" i="1"/>
  <c r="B148" i="1"/>
  <c r="A149" i="1"/>
  <c r="B149" i="1"/>
  <c r="A150" i="1"/>
  <c r="B150" i="1"/>
  <c r="A151" i="1"/>
  <c r="B151" i="1"/>
  <c r="A152" i="1"/>
  <c r="A153" i="1"/>
  <c r="A154" i="1"/>
  <c r="A155" i="1"/>
  <c r="A156" i="1"/>
  <c r="A157" i="1"/>
  <c r="A158" i="1"/>
  <c r="B158" i="1"/>
  <c r="A159" i="1"/>
  <c r="B159" i="1"/>
  <c r="A160" i="1"/>
  <c r="B160" i="1"/>
  <c r="A161" i="1"/>
  <c r="B161" i="1"/>
  <c r="A162" i="1"/>
  <c r="B162" i="1"/>
  <c r="A163" i="1"/>
  <c r="B163" i="1"/>
  <c r="A164" i="1"/>
  <c r="A165" i="1"/>
  <c r="B165" i="1"/>
  <c r="A166" i="1"/>
  <c r="A167" i="1"/>
  <c r="B167" i="1"/>
  <c r="A168" i="1"/>
  <c r="B168" i="1"/>
  <c r="A169" i="1"/>
  <c r="B169" i="1"/>
  <c r="A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A186" i="1"/>
  <c r="A187" i="1"/>
  <c r="B187" i="1"/>
  <c r="A188" i="1"/>
  <c r="A189" i="1"/>
  <c r="B189" i="1"/>
  <c r="A190" i="1"/>
  <c r="B190" i="1"/>
  <c r="A191" i="1"/>
  <c r="B191" i="1"/>
  <c r="A192" i="1"/>
  <c r="B192" i="1"/>
  <c r="A193" i="1"/>
  <c r="B193" i="1"/>
  <c r="A194" i="1"/>
  <c r="A195" i="1"/>
  <c r="B195" i="1"/>
  <c r="A196" i="1"/>
  <c r="B196" i="1"/>
  <c r="A197" i="1"/>
  <c r="A198" i="1"/>
  <c r="B198" i="1"/>
  <c r="A199" i="1"/>
  <c r="A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A223" i="1"/>
  <c r="A224" i="1"/>
  <c r="A225" i="1"/>
  <c r="B225" i="1"/>
  <c r="A226" i="1"/>
  <c r="B226" i="1"/>
  <c r="A227" i="1"/>
  <c r="A228" i="1"/>
  <c r="B228" i="1"/>
  <c r="A229" i="1"/>
  <c r="B229" i="1"/>
  <c r="A230" i="1"/>
  <c r="B230" i="1"/>
  <c r="A231" i="1"/>
  <c r="B231" i="1"/>
  <c r="A232" i="1"/>
  <c r="B232" i="1"/>
  <c r="A233" i="1"/>
  <c r="B233" i="1"/>
  <c r="A234" i="1"/>
  <c r="B234" i="1"/>
  <c r="A235" i="1"/>
  <c r="B235" i="1"/>
  <c r="A236" i="1"/>
  <c r="A237" i="1"/>
  <c r="A238" i="1"/>
  <c r="B238" i="1"/>
  <c r="A239" i="1"/>
  <c r="B239" i="1"/>
  <c r="A240" i="1"/>
  <c r="B240" i="1"/>
  <c r="A241" i="1"/>
  <c r="A242" i="1"/>
  <c r="A243" i="1"/>
  <c r="B243" i="1"/>
  <c r="A244" i="1"/>
  <c r="B244" i="1"/>
  <c r="A245" i="1"/>
  <c r="A246" i="1"/>
  <c r="B246" i="1"/>
  <c r="A247" i="1"/>
  <c r="A248" i="1"/>
  <c r="A249" i="1"/>
  <c r="A250" i="1"/>
  <c r="B250" i="1"/>
  <c r="A251" i="1"/>
  <c r="B251" i="1"/>
  <c r="A252" i="1"/>
  <c r="B252" i="1"/>
  <c r="A253" i="1"/>
  <c r="B253" i="1"/>
  <c r="A254" i="1"/>
  <c r="B254" i="1"/>
  <c r="A255" i="1"/>
  <c r="B255" i="1"/>
  <c r="A256" i="1"/>
  <c r="B256" i="1"/>
  <c r="A257" i="1"/>
  <c r="B257" i="1"/>
  <c r="A258" i="1"/>
  <c r="B258" i="1"/>
  <c r="A259" i="1"/>
  <c r="B259" i="1"/>
  <c r="A260" i="1"/>
  <c r="B260" i="1"/>
  <c r="A261" i="1"/>
  <c r="A262" i="1"/>
  <c r="B262" i="1"/>
  <c r="A263" i="1"/>
  <c r="B263" i="1"/>
  <c r="A264" i="1"/>
  <c r="B264" i="1"/>
  <c r="A265" i="1"/>
  <c r="B265" i="1"/>
  <c r="A266" i="1"/>
  <c r="B266" i="1"/>
  <c r="A267" i="1"/>
  <c r="A268" i="1"/>
  <c r="B268" i="1"/>
  <c r="A269" i="1"/>
  <c r="A270" i="1"/>
  <c r="A271" i="1"/>
  <c r="B271" i="1"/>
  <c r="A272" i="1"/>
  <c r="B272" i="1"/>
  <c r="A273" i="1"/>
  <c r="A274" i="1"/>
  <c r="A275" i="1"/>
  <c r="A276" i="1"/>
  <c r="A277" i="1"/>
  <c r="A278" i="1"/>
  <c r="A279" i="1"/>
  <c r="B279" i="1"/>
  <c r="A280" i="1"/>
  <c r="B280" i="1"/>
  <c r="A281" i="1"/>
  <c r="B281" i="1"/>
  <c r="A282" i="1"/>
  <c r="A283" i="1"/>
  <c r="B283" i="1"/>
  <c r="A284" i="1"/>
  <c r="B284" i="1"/>
  <c r="A285" i="1"/>
  <c r="A286" i="1"/>
  <c r="B286" i="1"/>
  <c r="A287" i="1"/>
  <c r="B287" i="1"/>
  <c r="A288" i="1"/>
  <c r="A289" i="1"/>
  <c r="B289" i="1"/>
  <c r="A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A304" i="1"/>
  <c r="A305" i="1"/>
  <c r="A306" i="1"/>
  <c r="B306" i="1"/>
  <c r="A307" i="1"/>
  <c r="B307" i="1"/>
  <c r="A308" i="1"/>
  <c r="B308" i="1"/>
  <c r="A309" i="1"/>
  <c r="B309" i="1"/>
  <c r="A310" i="1"/>
  <c r="A311" i="1"/>
  <c r="B311" i="1"/>
  <c r="A312" i="1"/>
  <c r="B312" i="1"/>
  <c r="A313" i="1"/>
  <c r="A314" i="1"/>
  <c r="B314" i="1"/>
  <c r="A315" i="1"/>
  <c r="B315" i="1"/>
  <c r="A316" i="1"/>
  <c r="B316" i="1"/>
  <c r="A317" i="1"/>
  <c r="B317" i="1"/>
  <c r="A318" i="1"/>
  <c r="B318" i="1"/>
  <c r="A319" i="1"/>
  <c r="B319" i="1"/>
  <c r="A320" i="1"/>
  <c r="B320" i="1"/>
  <c r="A321" i="1"/>
  <c r="B321" i="1"/>
  <c r="A322" i="1"/>
  <c r="A323" i="1"/>
  <c r="B323" i="1"/>
  <c r="A324" i="1"/>
  <c r="A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A339" i="1"/>
  <c r="A340" i="1"/>
  <c r="B340" i="1"/>
  <c r="A341" i="1"/>
  <c r="B341" i="1"/>
  <c r="A342" i="1"/>
  <c r="A343" i="1"/>
  <c r="A344" i="1"/>
  <c r="A345" i="1"/>
  <c r="A346" i="1"/>
  <c r="B346" i="1"/>
  <c r="A347" i="1"/>
  <c r="B347" i="1"/>
  <c r="A348" i="1"/>
  <c r="B348" i="1"/>
  <c r="A349" i="1"/>
  <c r="B349" i="1"/>
  <c r="A350" i="1"/>
  <c r="B350" i="1"/>
  <c r="A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A367" i="1"/>
  <c r="B367" i="1"/>
  <c r="A368" i="1"/>
  <c r="B368" i="1"/>
  <c r="A369" i="1"/>
  <c r="A370" i="1"/>
  <c r="B370" i="1"/>
  <c r="A371" i="1"/>
  <c r="B371" i="1"/>
  <c r="A372" i="1"/>
  <c r="B372" i="1"/>
  <c r="A373" i="1"/>
  <c r="B373" i="1"/>
  <c r="A374" i="1"/>
  <c r="A375" i="1"/>
  <c r="A376" i="1"/>
  <c r="B376" i="1"/>
  <c r="A377" i="1"/>
  <c r="B377" i="1"/>
  <c r="A378" i="1"/>
  <c r="A379" i="1"/>
  <c r="B379" i="1"/>
  <c r="A380" i="1"/>
  <c r="B380" i="1"/>
  <c r="A381" i="1"/>
  <c r="B381" i="1"/>
  <c r="A382" i="1"/>
  <c r="B382" i="1"/>
  <c r="A383" i="1"/>
  <c r="A384" i="1"/>
  <c r="A385" i="1"/>
  <c r="B385" i="1"/>
  <c r="A386" i="1"/>
  <c r="B386" i="1"/>
  <c r="A387" i="1"/>
  <c r="A388" i="1"/>
  <c r="B388" i="1"/>
  <c r="A389" i="1"/>
  <c r="A390" i="1"/>
  <c r="B390" i="1"/>
  <c r="A391" i="1"/>
  <c r="A392" i="1"/>
  <c r="A393" i="1"/>
  <c r="A394" i="1"/>
  <c r="B394" i="1"/>
  <c r="A395" i="1"/>
  <c r="A396" i="1"/>
  <c r="A397" i="1"/>
  <c r="B397" i="1"/>
  <c r="A398" i="1"/>
  <c r="A399" i="1"/>
  <c r="B399" i="1"/>
  <c r="A400" i="1"/>
  <c r="B400" i="1"/>
  <c r="A401" i="1"/>
  <c r="B401" i="1"/>
  <c r="A402" i="1"/>
  <c r="B402" i="1"/>
  <c r="A403" i="1"/>
  <c r="A404" i="1"/>
  <c r="B404" i="1"/>
  <c r="A405" i="1"/>
  <c r="A406" i="1"/>
  <c r="B406" i="1"/>
  <c r="A407" i="1"/>
  <c r="B407" i="1"/>
  <c r="A408" i="1"/>
  <c r="B408" i="1"/>
  <c r="A409" i="1"/>
  <c r="A410" i="1"/>
  <c r="A411" i="1"/>
  <c r="A412" i="1"/>
  <c r="B412" i="1"/>
  <c r="A413" i="1"/>
  <c r="B413" i="1"/>
  <c r="A414" i="1"/>
  <c r="B414" i="1"/>
  <c r="A415" i="1"/>
  <c r="B415" i="1"/>
  <c r="A416" i="1"/>
  <c r="A417" i="1"/>
  <c r="B417" i="1"/>
  <c r="A418" i="1"/>
  <c r="A419" i="1"/>
  <c r="B419" i="1"/>
  <c r="A420" i="1"/>
  <c r="B420" i="1"/>
  <c r="A421" i="1"/>
  <c r="B421" i="1"/>
  <c r="A422" i="1"/>
  <c r="B422" i="1"/>
  <c r="A423" i="1"/>
  <c r="B423" i="1"/>
  <c r="A424" i="1"/>
  <c r="B424" i="1"/>
  <c r="A425" i="1"/>
  <c r="B425" i="1"/>
  <c r="A426" i="1"/>
  <c r="B426" i="1"/>
  <c r="A427" i="1"/>
  <c r="B427" i="1"/>
  <c r="A428" i="1"/>
  <c r="A429" i="1"/>
  <c r="B429" i="1"/>
  <c r="A430" i="1"/>
  <c r="B430" i="1"/>
  <c r="A431" i="1"/>
  <c r="B431" i="1"/>
  <c r="A432" i="1"/>
  <c r="B432" i="1"/>
  <c r="A433" i="1"/>
  <c r="A434" i="1"/>
  <c r="B434" i="1"/>
  <c r="A435" i="1"/>
  <c r="B435" i="1"/>
  <c r="A436" i="1"/>
  <c r="B436" i="1"/>
  <c r="A437" i="1"/>
  <c r="A438" i="1"/>
  <c r="B438" i="1"/>
  <c r="A439" i="1"/>
  <c r="A440" i="1"/>
  <c r="B440" i="1"/>
  <c r="A441" i="1"/>
  <c r="B441" i="1"/>
  <c r="A442" i="1"/>
  <c r="A443" i="1"/>
  <c r="B443" i="1"/>
  <c r="A444" i="1"/>
  <c r="B444" i="1"/>
  <c r="A445" i="1"/>
  <c r="B445" i="1"/>
  <c r="A446" i="1"/>
  <c r="B446" i="1"/>
  <c r="A447" i="1"/>
  <c r="A448" i="1"/>
  <c r="B448" i="1"/>
  <c r="A449" i="1"/>
  <c r="A450" i="1"/>
  <c r="B450" i="1"/>
  <c r="A451" i="1"/>
  <c r="B451" i="1"/>
  <c r="A452" i="1"/>
  <c r="B452" i="1"/>
  <c r="A453" i="1"/>
  <c r="A454" i="1"/>
  <c r="A455" i="1"/>
  <c r="A456" i="1"/>
  <c r="A457" i="1"/>
  <c r="A458" i="1"/>
  <c r="B458" i="1"/>
  <c r="A459" i="1"/>
  <c r="B459" i="1"/>
  <c r="A460" i="1"/>
  <c r="B460" i="1"/>
  <c r="A461" i="1"/>
  <c r="B461" i="1"/>
  <c r="A462" i="1"/>
  <c r="B462" i="1"/>
  <c r="A463" i="1"/>
  <c r="B463" i="1"/>
  <c r="A464" i="1"/>
  <c r="B464" i="1"/>
  <c r="A465" i="1"/>
  <c r="B465" i="1"/>
  <c r="A466" i="1"/>
  <c r="B466" i="1"/>
  <c r="A467" i="1"/>
  <c r="B467" i="1"/>
  <c r="A468" i="1"/>
  <c r="A469" i="1"/>
  <c r="B469" i="1"/>
  <c r="A470" i="1"/>
  <c r="B470" i="1"/>
  <c r="A471" i="1"/>
  <c r="B471" i="1"/>
  <c r="A472" i="1"/>
  <c r="B472" i="1"/>
  <c r="A473" i="1"/>
  <c r="B473" i="1"/>
  <c r="A474" i="1"/>
  <c r="B474" i="1"/>
  <c r="A475" i="1"/>
  <c r="A476" i="1"/>
  <c r="A477" i="1"/>
  <c r="B477" i="1"/>
  <c r="A478" i="1"/>
  <c r="A479" i="1"/>
  <c r="B479" i="1"/>
  <c r="A480" i="1"/>
  <c r="B480" i="1"/>
  <c r="A481" i="1"/>
  <c r="B481" i="1"/>
  <c r="A482" i="1"/>
  <c r="B482" i="1"/>
  <c r="A483" i="1"/>
  <c r="A484" i="1"/>
  <c r="B484" i="1"/>
  <c r="A485" i="1"/>
  <c r="B485" i="1"/>
  <c r="A486" i="1"/>
  <c r="B486" i="1"/>
  <c r="A487" i="1"/>
  <c r="A488" i="1"/>
  <c r="B488" i="1"/>
  <c r="A489" i="1"/>
  <c r="B489" i="1"/>
  <c r="A490" i="1"/>
  <c r="A491" i="1"/>
  <c r="B491" i="1"/>
  <c r="A492" i="1"/>
  <c r="A493" i="1"/>
  <c r="B493" i="1"/>
  <c r="A494" i="1"/>
  <c r="B494" i="1"/>
  <c r="A495" i="1"/>
  <c r="B495" i="1"/>
  <c r="A496" i="1"/>
  <c r="B496" i="1"/>
  <c r="A497" i="1"/>
  <c r="B497" i="1"/>
  <c r="A498" i="1"/>
  <c r="A499" i="1"/>
  <c r="A500" i="1"/>
  <c r="B500" i="1"/>
  <c r="A501" i="1"/>
  <c r="A502" i="1"/>
  <c r="A503" i="1"/>
  <c r="B503" i="1"/>
  <c r="A504" i="1"/>
  <c r="B504" i="1"/>
  <c r="A505" i="1"/>
  <c r="B505" i="1"/>
  <c r="A506" i="1"/>
  <c r="B506" i="1"/>
  <c r="A507" i="1"/>
  <c r="B507" i="1"/>
  <c r="A508" i="1"/>
  <c r="B508" i="1"/>
  <c r="A509" i="1"/>
  <c r="B509" i="1"/>
  <c r="A510" i="1"/>
  <c r="B510" i="1"/>
  <c r="A511" i="1"/>
  <c r="B511" i="1"/>
  <c r="A512" i="1"/>
  <c r="A513" i="1"/>
  <c r="B513" i="1"/>
  <c r="A514" i="1"/>
  <c r="A515" i="1"/>
  <c r="A516" i="1"/>
  <c r="A517" i="1"/>
  <c r="B517" i="1"/>
  <c r="A518" i="1"/>
  <c r="B518" i="1"/>
  <c r="A519" i="1"/>
  <c r="B519" i="1"/>
  <c r="A520" i="1"/>
  <c r="B520" i="1"/>
  <c r="A521" i="1"/>
  <c r="B521" i="1"/>
  <c r="A522" i="1"/>
  <c r="B522" i="1"/>
  <c r="A523" i="1"/>
  <c r="B523" i="1"/>
  <c r="A524" i="1"/>
  <c r="B524" i="1"/>
  <c r="A525" i="1"/>
  <c r="A526" i="1"/>
  <c r="A527" i="1"/>
  <c r="B527" i="1"/>
  <c r="A528" i="1"/>
  <c r="B528" i="1"/>
  <c r="A529" i="1"/>
  <c r="B529" i="1"/>
  <c r="A530" i="1"/>
  <c r="B530" i="1"/>
  <c r="A531" i="1"/>
  <c r="A532" i="1"/>
  <c r="B532" i="1"/>
  <c r="A533" i="1"/>
  <c r="B533" i="1"/>
  <c r="A534" i="1"/>
  <c r="B534" i="1"/>
  <c r="A535" i="1"/>
  <c r="B535" i="1"/>
  <c r="A536" i="1"/>
  <c r="B536" i="1"/>
  <c r="A537" i="1"/>
  <c r="B537" i="1"/>
  <c r="A538" i="1"/>
  <c r="A539" i="1"/>
  <c r="A540" i="1"/>
  <c r="A541" i="1"/>
  <c r="A542" i="1"/>
  <c r="A543" i="1"/>
  <c r="A544" i="1"/>
  <c r="A545" i="1"/>
  <c r="B545" i="1"/>
  <c r="A546" i="1"/>
  <c r="A547" i="1"/>
  <c r="A548" i="1"/>
  <c r="B548" i="1"/>
  <c r="A549" i="1"/>
  <c r="B549" i="1"/>
  <c r="A550" i="1"/>
  <c r="B550" i="1"/>
  <c r="A551" i="1"/>
  <c r="B551" i="1"/>
  <c r="A552" i="1"/>
  <c r="B552" i="1"/>
  <c r="A553" i="1"/>
  <c r="B553" i="1"/>
  <c r="A554" i="1"/>
  <c r="A555" i="1"/>
  <c r="A556" i="1"/>
  <c r="A557" i="1"/>
  <c r="B557" i="1"/>
  <c r="A558" i="1"/>
  <c r="B558" i="1"/>
  <c r="A559" i="1"/>
  <c r="B559" i="1"/>
  <c r="A560" i="1"/>
  <c r="B560" i="1"/>
  <c r="A561" i="1"/>
  <c r="B561" i="1"/>
  <c r="A562" i="1"/>
  <c r="B562" i="1"/>
  <c r="A563" i="1"/>
  <c r="B563" i="1"/>
  <c r="A564" i="1"/>
  <c r="B564" i="1"/>
  <c r="A565" i="1"/>
  <c r="B565" i="1"/>
  <c r="A566" i="1"/>
  <c r="B566" i="1"/>
  <c r="A567" i="1"/>
  <c r="A568" i="1"/>
  <c r="A569" i="1"/>
  <c r="B569" i="1"/>
  <c r="A570" i="1"/>
  <c r="A571" i="1"/>
  <c r="A572" i="1"/>
  <c r="B572" i="1"/>
  <c r="A573" i="1"/>
  <c r="A574" i="1"/>
  <c r="A575" i="1"/>
  <c r="A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A605" i="1"/>
  <c r="A606" i="1"/>
  <c r="B606" i="1"/>
  <c r="A607" i="1"/>
  <c r="B607" i="1"/>
  <c r="A608" i="1"/>
  <c r="B608" i="1"/>
  <c r="A609" i="1"/>
  <c r="B609" i="1"/>
  <c r="A610" i="1"/>
  <c r="B610" i="1"/>
  <c r="A611" i="1"/>
  <c r="B611" i="1"/>
  <c r="A612" i="1"/>
  <c r="B612" i="1"/>
  <c r="A613" i="1"/>
  <c r="B613" i="1"/>
  <c r="A614" i="1"/>
  <c r="B614" i="1"/>
  <c r="A615" i="1"/>
  <c r="A616" i="1"/>
  <c r="B616" i="1"/>
  <c r="A617" i="1"/>
  <c r="A618" i="1"/>
  <c r="A619" i="1"/>
  <c r="A620" i="1"/>
  <c r="A621" i="1"/>
  <c r="A622" i="1"/>
  <c r="B622" i="1"/>
  <c r="A623" i="1"/>
  <c r="B623" i="1"/>
  <c r="A624" i="1"/>
  <c r="A625" i="1"/>
  <c r="A626" i="1"/>
  <c r="A627" i="1"/>
  <c r="B627" i="1"/>
  <c r="A628" i="1"/>
  <c r="A629" i="1"/>
  <c r="B629" i="1"/>
  <c r="A630" i="1"/>
  <c r="B630" i="1"/>
  <c r="A631" i="1"/>
  <c r="B631" i="1"/>
  <c r="A632" i="1"/>
  <c r="B632" i="1"/>
  <c r="A633" i="1"/>
  <c r="B633" i="1"/>
  <c r="A634" i="1"/>
  <c r="B634" i="1"/>
  <c r="A635" i="1"/>
  <c r="A636" i="1"/>
  <c r="A637" i="1"/>
  <c r="B637" i="1"/>
  <c r="A638" i="1"/>
  <c r="B638" i="1"/>
  <c r="A639" i="1"/>
  <c r="B639" i="1"/>
  <c r="A640" i="1"/>
  <c r="B640" i="1"/>
  <c r="A641" i="1"/>
  <c r="B641" i="1"/>
  <c r="A642" i="1"/>
  <c r="B642" i="1"/>
  <c r="A643" i="1"/>
  <c r="A644" i="1"/>
  <c r="B644" i="1"/>
  <c r="A645" i="1"/>
  <c r="B645" i="1"/>
  <c r="A646" i="1"/>
  <c r="A647" i="1"/>
  <c r="B647" i="1"/>
  <c r="A648" i="1"/>
  <c r="B648" i="1"/>
  <c r="A649" i="1"/>
  <c r="A650" i="1"/>
  <c r="A651" i="1"/>
  <c r="B651" i="1"/>
  <c r="A652" i="1"/>
  <c r="B652" i="1"/>
  <c r="A653" i="1"/>
  <c r="B653" i="1"/>
  <c r="A654" i="1"/>
  <c r="B654" i="1"/>
  <c r="A655" i="1"/>
  <c r="B655" i="1"/>
  <c r="A656" i="1"/>
  <c r="B656" i="1"/>
  <c r="A657" i="1"/>
  <c r="B657" i="1"/>
  <c r="A658" i="1"/>
  <c r="B658" i="1"/>
  <c r="A659" i="1"/>
  <c r="A660" i="1"/>
  <c r="B660" i="1"/>
  <c r="A661" i="1"/>
  <c r="A662" i="1"/>
  <c r="B662" i="1"/>
  <c r="A663" i="1"/>
  <c r="B663" i="1"/>
  <c r="A664" i="1"/>
  <c r="B664" i="1"/>
  <c r="A665" i="1"/>
  <c r="B665" i="1"/>
  <c r="A666" i="1"/>
  <c r="B666" i="1"/>
  <c r="A667" i="1"/>
  <c r="B667" i="1"/>
  <c r="A668" i="1"/>
  <c r="A669" i="1"/>
  <c r="B669" i="1"/>
  <c r="A670" i="1"/>
  <c r="A671" i="1"/>
  <c r="B671" i="1"/>
  <c r="A672" i="1"/>
  <c r="B672" i="1"/>
  <c r="A673" i="1"/>
  <c r="A674" i="1"/>
  <c r="A675" i="1"/>
  <c r="B675" i="1"/>
  <c r="A676" i="1"/>
  <c r="B676" i="1"/>
  <c r="A677" i="1"/>
  <c r="B677" i="1"/>
  <c r="A678" i="1"/>
  <c r="B678" i="1"/>
  <c r="A679" i="1"/>
  <c r="A680" i="1"/>
  <c r="B680" i="1"/>
  <c r="A681" i="1"/>
  <c r="A682" i="1"/>
  <c r="B682" i="1"/>
  <c r="A683" i="1"/>
  <c r="B683" i="1"/>
  <c r="A684" i="1"/>
  <c r="B684" i="1"/>
  <c r="A685" i="1"/>
  <c r="A686" i="1"/>
  <c r="A687" i="1"/>
  <c r="A688" i="1"/>
  <c r="B688" i="1"/>
  <c r="A689" i="1"/>
  <c r="B689" i="1"/>
  <c r="A690" i="1"/>
  <c r="B690" i="1"/>
  <c r="A691" i="1"/>
  <c r="B691" i="1"/>
  <c r="A692" i="1"/>
  <c r="A693" i="1"/>
  <c r="B693" i="1"/>
  <c r="A694" i="1"/>
  <c r="B694" i="1"/>
  <c r="A695" i="1"/>
  <c r="B695" i="1"/>
  <c r="A696" i="1"/>
  <c r="B696" i="1"/>
  <c r="A697" i="1"/>
  <c r="B697" i="1"/>
  <c r="A698" i="1"/>
  <c r="B698" i="1"/>
  <c r="A699" i="1"/>
  <c r="B699" i="1"/>
  <c r="A700" i="1"/>
  <c r="A701" i="1"/>
  <c r="B701" i="1"/>
  <c r="A702" i="1"/>
  <c r="B702" i="1"/>
  <c r="A703" i="1"/>
  <c r="B703" i="1"/>
  <c r="A704" i="1"/>
  <c r="B704" i="1"/>
  <c r="A705" i="1"/>
  <c r="B705" i="1"/>
  <c r="A706" i="1"/>
  <c r="A707" i="1"/>
  <c r="B707" i="1"/>
  <c r="A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A728" i="1"/>
  <c r="A729" i="1"/>
  <c r="B729" i="1"/>
  <c r="A730" i="1"/>
  <c r="B730" i="1"/>
  <c r="A731" i="1"/>
  <c r="B731" i="1"/>
  <c r="A732" i="1"/>
  <c r="B732" i="1"/>
  <c r="A733" i="1"/>
  <c r="B733" i="1"/>
  <c r="A734" i="1"/>
  <c r="B734" i="1"/>
  <c r="A735" i="1"/>
  <c r="B735" i="1"/>
  <c r="A736" i="1"/>
  <c r="B736" i="1"/>
  <c r="A737" i="1"/>
  <c r="B737" i="1"/>
  <c r="A738" i="1"/>
  <c r="B738" i="1"/>
  <c r="A739" i="1"/>
  <c r="A740" i="1"/>
  <c r="A741" i="1"/>
  <c r="B741" i="1"/>
  <c r="A742" i="1"/>
  <c r="A743" i="1"/>
  <c r="B743" i="1"/>
  <c r="A744" i="1"/>
  <c r="B744" i="1"/>
  <c r="A745" i="1"/>
  <c r="B745" i="1"/>
  <c r="A746" i="1"/>
  <c r="A747" i="1"/>
  <c r="B747" i="1"/>
  <c r="A748" i="1"/>
  <c r="B748" i="1"/>
  <c r="A749" i="1"/>
  <c r="B749" i="1"/>
  <c r="A750" i="1"/>
  <c r="A751" i="1"/>
  <c r="B751" i="1"/>
  <c r="A752" i="1"/>
  <c r="B752" i="1"/>
  <c r="A753" i="1"/>
  <c r="B753" i="1"/>
  <c r="A754" i="1"/>
  <c r="B754" i="1"/>
  <c r="A755" i="1"/>
  <c r="B755" i="1"/>
  <c r="A756" i="1"/>
  <c r="B756" i="1"/>
  <c r="A757" i="1"/>
  <c r="B757" i="1"/>
  <c r="A758" i="1"/>
  <c r="B758" i="1"/>
  <c r="A759" i="1"/>
  <c r="B759" i="1"/>
  <c r="A760" i="1"/>
  <c r="B760" i="1"/>
  <c r="A761" i="1"/>
  <c r="A762" i="1"/>
  <c r="B762" i="1"/>
  <c r="A763" i="1"/>
  <c r="B763" i="1"/>
  <c r="A764" i="1"/>
  <c r="B764" i="1"/>
  <c r="A765" i="1"/>
  <c r="B765" i="1"/>
  <c r="A766" i="1"/>
  <c r="B766" i="1"/>
  <c r="A767" i="1"/>
  <c r="A768" i="1"/>
  <c r="A769" i="1"/>
  <c r="B769" i="1"/>
  <c r="A770" i="1"/>
  <c r="B770" i="1"/>
  <c r="A771" i="1"/>
  <c r="A772" i="1"/>
  <c r="B772" i="1"/>
  <c r="A773" i="1"/>
  <c r="B773" i="1"/>
  <c r="A774" i="1"/>
  <c r="B774" i="1"/>
  <c r="A775" i="1"/>
  <c r="B775" i="1"/>
  <c r="A776" i="1"/>
  <c r="B776" i="1"/>
  <c r="A777" i="1"/>
  <c r="A778" i="1"/>
  <c r="B778" i="1"/>
  <c r="A779" i="1"/>
  <c r="B779" i="1"/>
  <c r="A780" i="1"/>
  <c r="B780" i="1"/>
  <c r="A781" i="1"/>
  <c r="B781" i="1"/>
  <c r="A782" i="1"/>
  <c r="A783" i="1"/>
  <c r="B783" i="1"/>
  <c r="A784" i="1"/>
  <c r="B784" i="1"/>
  <c r="A785" i="1"/>
  <c r="A786" i="1"/>
  <c r="A787" i="1"/>
  <c r="B787" i="1"/>
  <c r="A788" i="1"/>
  <c r="A789" i="1"/>
  <c r="B789" i="1"/>
  <c r="A790" i="1"/>
  <c r="B790" i="1"/>
  <c r="A791" i="1"/>
  <c r="B791" i="1"/>
  <c r="A792" i="1"/>
  <c r="B792" i="1"/>
  <c r="A793" i="1"/>
  <c r="A794" i="1"/>
  <c r="A795" i="1"/>
  <c r="A796" i="1"/>
  <c r="B796" i="1"/>
  <c r="A797" i="1"/>
  <c r="B797" i="1"/>
  <c r="A798" i="1"/>
  <c r="B798" i="1"/>
  <c r="A799" i="1"/>
  <c r="B799" i="1"/>
  <c r="A800" i="1"/>
  <c r="B800" i="1"/>
  <c r="A801" i="1"/>
  <c r="B801" i="1"/>
  <c r="A802" i="1"/>
  <c r="B802" i="1"/>
  <c r="A803" i="1"/>
  <c r="B803" i="1"/>
  <c r="A804" i="1"/>
  <c r="B804" i="1"/>
  <c r="A805" i="1"/>
  <c r="A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A824" i="1"/>
  <c r="A825" i="1"/>
  <c r="B825" i="1"/>
  <c r="A826" i="1"/>
  <c r="A827" i="1"/>
  <c r="B827" i="1"/>
  <c r="A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A844" i="1"/>
  <c r="B844" i="1"/>
  <c r="A845" i="1"/>
  <c r="B845" i="1"/>
  <c r="A846" i="1"/>
  <c r="B846" i="1"/>
  <c r="A847" i="1"/>
  <c r="B847" i="1"/>
  <c r="A848" i="1"/>
  <c r="B848" i="1"/>
  <c r="A849" i="1"/>
  <c r="B849" i="1"/>
  <c r="A850" i="1"/>
  <c r="B850" i="1"/>
  <c r="A851" i="1"/>
  <c r="B851" i="1"/>
  <c r="A852" i="1"/>
  <c r="A853" i="1"/>
  <c r="B853" i="1"/>
  <c r="A854" i="1"/>
  <c r="A855" i="1"/>
  <c r="B855" i="1"/>
  <c r="A856" i="1"/>
  <c r="B856" i="1"/>
  <c r="A857" i="1"/>
  <c r="B857" i="1"/>
  <c r="A858" i="1"/>
  <c r="B858" i="1"/>
  <c r="A859" i="1"/>
  <c r="A860" i="1"/>
  <c r="B860" i="1"/>
  <c r="A861" i="1"/>
  <c r="B861" i="1"/>
  <c r="A862" i="1"/>
  <c r="B862" i="1"/>
  <c r="A863" i="1"/>
  <c r="B863" i="1"/>
  <c r="A864" i="1"/>
  <c r="A865" i="1"/>
  <c r="B865" i="1"/>
  <c r="A866" i="1"/>
  <c r="B866" i="1"/>
  <c r="A867" i="1"/>
  <c r="B867" i="1"/>
  <c r="A868" i="1"/>
  <c r="B868" i="1"/>
  <c r="A869" i="1"/>
  <c r="A870" i="1"/>
  <c r="B870" i="1"/>
  <c r="A871" i="1"/>
  <c r="B871" i="1"/>
  <c r="A872" i="1"/>
  <c r="A873" i="1"/>
  <c r="B873" i="1"/>
  <c r="A874" i="1"/>
  <c r="B874" i="1"/>
  <c r="A875" i="1"/>
  <c r="B875" i="1"/>
  <c r="A876" i="1"/>
  <c r="B876" i="1"/>
  <c r="A877" i="1"/>
  <c r="B877" i="1"/>
  <c r="A878" i="1"/>
  <c r="B878" i="1"/>
  <c r="A879" i="1"/>
  <c r="B879" i="1"/>
  <c r="A880" i="1"/>
  <c r="B880" i="1"/>
  <c r="A881" i="1"/>
  <c r="B881" i="1"/>
  <c r="A882" i="1"/>
  <c r="B882" i="1"/>
  <c r="A883" i="1"/>
  <c r="B883" i="1"/>
  <c r="A884" i="1"/>
  <c r="A885" i="1"/>
  <c r="B885" i="1"/>
  <c r="A886" i="1"/>
  <c r="B886" i="1"/>
  <c r="A887" i="1"/>
  <c r="B887" i="1"/>
  <c r="A888" i="1"/>
  <c r="B888" i="1"/>
  <c r="A889" i="1"/>
  <c r="B889" i="1"/>
  <c r="A890" i="1"/>
  <c r="A891" i="1"/>
  <c r="B891" i="1"/>
  <c r="A892" i="1"/>
  <c r="B892" i="1"/>
  <c r="A893" i="1"/>
  <c r="B893" i="1"/>
  <c r="A894" i="1"/>
  <c r="B894" i="1"/>
  <c r="A895" i="1"/>
  <c r="A896" i="1"/>
  <c r="B896" i="1"/>
  <c r="A897" i="1"/>
  <c r="B897" i="1"/>
  <c r="A898" i="1"/>
  <c r="A899" i="1"/>
  <c r="B899" i="1"/>
  <c r="A900" i="1"/>
  <c r="B900" i="1"/>
  <c r="A901" i="1"/>
  <c r="B901" i="1"/>
  <c r="A902" i="1"/>
  <c r="B902" i="1"/>
  <c r="A903" i="1"/>
  <c r="B903" i="1"/>
  <c r="A904" i="1"/>
  <c r="A905" i="1"/>
  <c r="B905" i="1"/>
  <c r="A906" i="1"/>
  <c r="B906" i="1"/>
  <c r="A907" i="1"/>
  <c r="B907" i="1"/>
  <c r="A908" i="1"/>
  <c r="A909" i="1"/>
  <c r="A910" i="1"/>
  <c r="B910" i="1"/>
  <c r="A911" i="1"/>
  <c r="A912" i="1"/>
  <c r="B912" i="1"/>
  <c r="A913" i="1"/>
  <c r="B913" i="1"/>
  <c r="A914" i="1"/>
  <c r="A915" i="1"/>
  <c r="A916" i="1"/>
  <c r="B916" i="1"/>
  <c r="A917" i="1"/>
  <c r="B917" i="1"/>
  <c r="A918" i="1"/>
  <c r="B918" i="1"/>
  <c r="A919" i="1"/>
  <c r="B919" i="1"/>
  <c r="A920" i="1"/>
  <c r="B920" i="1"/>
  <c r="A921" i="1"/>
  <c r="B921" i="1"/>
  <c r="A922" i="1"/>
  <c r="B922" i="1"/>
  <c r="A923" i="1"/>
  <c r="B923" i="1"/>
  <c r="A924" i="1"/>
  <c r="B924" i="1"/>
  <c r="A925" i="1"/>
  <c r="A926" i="1"/>
  <c r="B926" i="1"/>
  <c r="A927" i="1"/>
  <c r="B927" i="1"/>
  <c r="A928" i="1"/>
  <c r="A929" i="1"/>
  <c r="B929" i="1"/>
  <c r="A930" i="1"/>
  <c r="B930" i="1"/>
  <c r="A931" i="1"/>
  <c r="B931" i="1"/>
  <c r="A932" i="1"/>
  <c r="B932" i="1"/>
  <c r="A933" i="1"/>
  <c r="B933" i="1"/>
  <c r="A934" i="1"/>
  <c r="B934" i="1"/>
  <c r="A935" i="1"/>
  <c r="B935" i="1"/>
  <c r="A936" i="1"/>
  <c r="B936" i="1"/>
  <c r="A937" i="1"/>
  <c r="B937" i="1"/>
  <c r="A938" i="1"/>
  <c r="B938" i="1"/>
  <c r="A939" i="1"/>
  <c r="A940" i="1"/>
  <c r="B940" i="1"/>
  <c r="A941" i="1"/>
  <c r="B941" i="1"/>
  <c r="A942" i="1"/>
  <c r="B942" i="1"/>
  <c r="A943" i="1"/>
  <c r="B943" i="1"/>
  <c r="A944" i="1"/>
  <c r="B944" i="1"/>
  <c r="A945" i="1"/>
  <c r="B945" i="1"/>
  <c r="A946" i="1"/>
  <c r="B946" i="1"/>
  <c r="A947" i="1"/>
  <c r="B947" i="1"/>
  <c r="A948" i="1"/>
  <c r="B948" i="1"/>
  <c r="A949" i="1"/>
  <c r="B949" i="1"/>
  <c r="A950" i="1"/>
  <c r="A951" i="1"/>
  <c r="B951" i="1"/>
  <c r="A952" i="1"/>
  <c r="B952" i="1"/>
  <c r="A953" i="1"/>
  <c r="B953" i="1"/>
  <c r="A954" i="1"/>
  <c r="B954" i="1"/>
  <c r="A955" i="1"/>
  <c r="B955" i="1"/>
  <c r="A956" i="1"/>
  <c r="A957" i="1"/>
  <c r="B957" i="1"/>
  <c r="A958" i="1"/>
  <c r="B958" i="1"/>
  <c r="A959" i="1"/>
  <c r="B959" i="1"/>
  <c r="A960" i="1"/>
  <c r="B960" i="1"/>
  <c r="A961" i="1"/>
  <c r="B961" i="1"/>
  <c r="A962" i="1"/>
  <c r="B962" i="1"/>
  <c r="A963" i="1"/>
  <c r="A964" i="1"/>
  <c r="B964" i="1"/>
  <c r="A965" i="1"/>
  <c r="B965" i="1"/>
  <c r="A966" i="1"/>
  <c r="B966" i="1"/>
  <c r="A967" i="1"/>
  <c r="B967" i="1"/>
  <c r="A968" i="1"/>
  <c r="B968" i="1"/>
  <c r="A969" i="1"/>
  <c r="A970" i="1"/>
  <c r="A971" i="1"/>
  <c r="B971" i="1"/>
  <c r="A972" i="1"/>
  <c r="B972" i="1"/>
  <c r="A973" i="1"/>
  <c r="A974" i="1"/>
  <c r="A975" i="1"/>
  <c r="A976" i="1"/>
  <c r="A977" i="1"/>
  <c r="A978" i="1"/>
  <c r="A979" i="1"/>
  <c r="B979" i="1"/>
  <c r="A980" i="1"/>
  <c r="B980" i="1"/>
  <c r="A981" i="1"/>
  <c r="B981" i="1"/>
  <c r="A982" i="1"/>
  <c r="B982" i="1"/>
  <c r="A983" i="1"/>
  <c r="B983" i="1"/>
  <c r="A984" i="1"/>
  <c r="B984" i="1"/>
  <c r="A985" i="1"/>
  <c r="B985" i="1"/>
  <c r="A986" i="1"/>
  <c r="B986" i="1"/>
  <c r="A987" i="1"/>
  <c r="B987" i="1"/>
  <c r="A988" i="1"/>
  <c r="B988" i="1"/>
  <c r="A989" i="1"/>
  <c r="B989" i="1"/>
  <c r="A990" i="1"/>
  <c r="A991" i="1"/>
  <c r="B991" i="1"/>
  <c r="A992" i="1"/>
  <c r="B992" i="1"/>
  <c r="A993" i="1"/>
  <c r="B993" i="1"/>
  <c r="A994" i="1"/>
  <c r="B994" i="1"/>
  <c r="A995" i="1"/>
  <c r="A996" i="1"/>
  <c r="B996" i="1"/>
  <c r="A997" i="1"/>
  <c r="B997" i="1"/>
  <c r="A998" i="1"/>
  <c r="A999" i="1"/>
  <c r="A1000" i="1"/>
  <c r="B1000" i="1"/>
  <c r="A1001" i="1"/>
  <c r="B1001" i="1"/>
  <c r="A1002" i="1"/>
  <c r="A1003" i="1"/>
  <c r="B1003" i="1"/>
  <c r="A1004" i="1"/>
  <c r="B1004" i="1"/>
  <c r="A1005" i="1"/>
  <c r="B1005" i="1"/>
  <c r="A1006" i="1"/>
  <c r="B1006" i="1"/>
  <c r="A1007" i="1"/>
  <c r="B1007" i="1"/>
  <c r="A1008" i="1"/>
  <c r="B1008" i="1"/>
  <c r="A1009" i="1"/>
  <c r="B1009" i="1"/>
  <c r="A1010" i="1"/>
  <c r="A1011" i="1"/>
  <c r="B1011" i="1"/>
  <c r="A1012" i="1"/>
  <c r="B1012" i="1"/>
  <c r="A1013" i="1"/>
  <c r="B1013" i="1"/>
  <c r="A1014" i="1"/>
  <c r="B1014" i="1"/>
  <c r="A1015" i="1"/>
  <c r="B1015" i="1"/>
  <c r="A1016" i="1"/>
  <c r="B1016" i="1"/>
  <c r="A1017" i="1"/>
  <c r="B1017" i="1"/>
  <c r="A1018" i="1"/>
  <c r="A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A1033" i="1"/>
  <c r="A1034" i="1"/>
  <c r="B1034" i="1"/>
  <c r="A1035" i="1"/>
  <c r="B1035" i="1"/>
  <c r="A1036" i="1"/>
  <c r="B1036" i="1"/>
  <c r="A1037" i="1"/>
  <c r="B1037" i="1"/>
  <c r="A1038" i="1"/>
  <c r="B1038" i="1"/>
  <c r="A1039" i="1"/>
  <c r="A1040" i="1"/>
  <c r="B1040" i="1"/>
  <c r="A1041" i="1"/>
  <c r="B1041" i="1"/>
  <c r="A1042" i="1"/>
  <c r="A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A1063" i="1"/>
  <c r="B1063" i="1"/>
  <c r="A1064" i="1"/>
  <c r="A1065" i="1"/>
  <c r="A1066" i="1"/>
  <c r="A1067" i="1"/>
  <c r="B1067" i="1"/>
  <c r="A1068" i="1"/>
  <c r="A1069" i="1"/>
  <c r="A1070" i="1"/>
  <c r="A1071" i="1"/>
  <c r="A1072" i="1"/>
  <c r="B1072" i="1"/>
  <c r="A1073" i="1"/>
  <c r="B1073" i="1"/>
  <c r="A1074" i="1"/>
  <c r="B1074" i="1"/>
  <c r="A1075" i="1"/>
  <c r="B1075" i="1"/>
  <c r="A1076" i="1"/>
  <c r="B1076" i="1"/>
  <c r="A1077" i="1"/>
  <c r="B1077" i="1"/>
  <c r="A1078" i="1"/>
  <c r="B1078" i="1"/>
  <c r="A1079" i="1"/>
  <c r="A1080" i="1"/>
  <c r="B1080" i="1"/>
  <c r="A1081" i="1"/>
  <c r="A1082" i="1"/>
  <c r="B1082" i="1"/>
  <c r="A1083" i="1"/>
  <c r="B1083" i="1"/>
  <c r="A1084" i="1"/>
  <c r="B1084" i="1"/>
  <c r="A1085" i="1"/>
  <c r="A1086" i="1"/>
  <c r="B1086" i="1"/>
  <c r="A1087" i="1"/>
  <c r="B1087" i="1"/>
  <c r="A1088" i="1"/>
  <c r="B1088" i="1"/>
  <c r="A1089" i="1"/>
  <c r="B1089" i="1"/>
  <c r="A1090" i="1"/>
  <c r="A1091" i="1"/>
  <c r="B1091" i="1"/>
  <c r="A1092" i="1"/>
  <c r="B1092" i="1"/>
  <c r="A1093" i="1"/>
  <c r="B1093" i="1"/>
</calcChain>
</file>

<file path=xl/sharedStrings.xml><?xml version="1.0" encoding="utf-8"?>
<sst xmlns="http://schemas.openxmlformats.org/spreadsheetml/2006/main" count="299" uniqueCount="123">
  <si>
    <t>Produced:</t>
  </si>
  <si>
    <t>Mois(C):</t>
  </si>
  <si>
    <t>Annee(C):</t>
  </si>
  <si>
    <t>BUREAU(C):</t>
  </si>
  <si>
    <t>SYSCOM(C):</t>
  </si>
  <si>
    <t>FLUX(C):</t>
  </si>
  <si>
    <t>PROVDEST(C):</t>
  </si>
  <si>
    <t>PARTENAIRE(B):</t>
  </si>
  <si>
    <t>Y Axis (1)</t>
  </si>
  <si>
    <t>PRODUIT(B):</t>
  </si>
  <si>
    <t>Y Axis (2)</t>
  </si>
  <si>
    <t>INDICATORS(B):</t>
  </si>
  <si>
    <t>X Axis (1)</t>
  </si>
  <si>
    <t>=t("   POISSONS D'EAU DOUCE ET DE MER, COMESTIBLES, CONGELÉS (À L'EXCL. DES SALMONIDÉS, DES POISSONS PLATS, DES THONS, DES LISTAOS OU BONITES À VENTRE RAYÉ, DES HARENGS, DES MORUES, DES ESPADONS, DES LÉGINES, DES SARDINES, DES SARDINELLES, DES SPRATS OU E</t>
  </si>
  <si>
    <t>=t("   PLANTES VIVANTES, Y.C. LEURS RACINES, ET BLANC DE CHAMPIGNONS (À L'EXCL. DES BULBES, OIGNONS, TUBERCULES, RACINES TUBÉREUSES, GRIFFES ET RHIZOMES - Y.C. LES PLANTS, PLANTES ET RACINES DE CHICORÉE -, DES BOUTURES NON-RACINÉES, DES GREFFONS, DES ARBR</t>
  </si>
  <si>
    <t>=t("   Racines d'arrow-root ou de salep, topinambours et racines et tubercules simil. à haute teneur en fécule ou en inuline, frais, réfrigérés, congelés ou séchés, même débités en morceaux ou agglomérés sous forme de pellets et moelle de sagoutier (à l'e</t>
  </si>
  <si>
    <t xml:space="preserve">=t("   FRUITS COMESTIBLES, NON-CUITS OU CUITS À L'EAU OU À LA VAPEUR, CONGELÉS, MÊME ADDITIONNÉS DE SUCRE OU D'AUTRES ÉDULCORANTS (À L'EXCL. DES FRAISES, DES FRAMBOISES, DES MÛRES DE RONCE OU DE MÛRIER, DES MÛRES-FRAMBOISES ET DES GROSEILLES À GRAPPES OU </t>
  </si>
  <si>
    <t>=t("   THÉ NOIR [FERMENTÉ] ET THÉ PARTIELLEMENT FERMENTÉ, MÊME AROMATISÉS, PRÉSENTÉS EN EMBALLAGES IMMÉDIATS D'UN CONTENU &lt;= 3 KG [01/01/1988-31/12/1991: THÉ NOIR [THÉ FERMENTE], ET THÉ PARTIELLEMENT FERMENTE, PRESENTES EN EMBALLAGES IMMEDIATS D'UN CONTEN</t>
  </si>
  <si>
    <t>=t("   ÉPICES (SAUF POIVRE [DU GENRE PIPER], PIMENTS DU GENRE CAPSICUM OU DU GENRE PIMENTA, VANILLE, CANNELLE ET FLEURS DE CANNELIER, GIROFLES [ANTOFLES, CLOUS ET GRIFFES], NOIX DE MUSCADE, MACIS, AMOMES ET CARDAMOMES, GRAINES D'ANIS, DE BADIANE, DE FENOU</t>
  </si>
  <si>
    <t>=t("   Farines, semoules et poudres des produits du chapitre 8 "Fruits comestibles, écorces d'agrumes ou de melons"")</t>
  </si>
  <si>
    <t>=t("   GRAINES ET FRUITS OLÉAGINEUX, MÊME CONCASSÉS (À L'EXCL. DES FRUITS À COQUE COMESTIBLES, DES OLIVES, DES FÈVES DE SOJA, DES ARACHIDES, DU COPRAH ET DES GRAINES DE LIN, DE NAVETTE, DE COLZA, DE TOURNESOL, DE COTON, DE SÉSAME, DE MOUTARDE, D'OEILLETTE</t>
  </si>
  <si>
    <t>=t("   PLANTES, PARTIES DE PLANTES, GRAINES ET FRUITS DES ESPÈCES UTILISÉES PRINCIPALEMENT EN PARFUMERIE, EN MÉDECINE OU À USAGES INSECTICIDES, PARASITICIDES OU SIMIL., FRAIS OU SECS, MÊME COUPÉS, CONCASSÉS OU PULVÉRISÉS (À L'EXCL. DES RACINES DE GINSENG,</t>
  </si>
  <si>
    <t>=t("   Graisses et huiles végétales et leurs fractions, fixes, même raffinées, mais non chimiquement modifiées (à l'excl. des huiles de soja, d'arachide, d'olive, de palme, de tournesol, de carthame, de coton, de coco [coprah], de palmiste, de babassu, de</t>
  </si>
  <si>
    <t>=t("   Produits de la boulangerie, pâtisserie ou biscuiterie, même additionnés de cacao, hosties, cachets vides des types utilisés pour médicaments, pains à cacheter, pâtes séchées de farine, d'amidon ou de fécule en feuilles et produits simil. (sauf pain</t>
  </si>
  <si>
    <t>=t("   CIDRE, POIRÉ, HYDROMEL ET AUTRES BOISSONS FERMENTÉES; MÉLANGES DE BOISSONS FERMENTÉES ET MÉLANGES DE BOISSONS FERMENTÉES ET DE BOISSONS NON-ALCOOLIQUES, N.D.A. (À L'EXCL. DE LA BIÈRE, DES VINS DE RAISINS FRAIS, DES MOÛTS DE RAISINS AINSI QUE DES VE</t>
  </si>
  <si>
    <t>=t("   ALCOOL ÉTHYLIQUE D'UN TITRE ALCOOMÉTRIQUE VOLUMIQUE &lt; 80% VOL, NON-DÉNATURÉ; EAUX-DE-VIE ET AUTRES BOISSONS SPIRITUEUSES (À L'EXCL. DES EAUX-DE-VIE DE VIN OU DE MARC DE RAISINS, DES WHISKIES, DU RHUM ET AUTRES EAUX-DE-VIE PROVENANT DE LA DISTILLATI</t>
  </si>
  <si>
    <t xml:space="preserve">=t("   Tourteaux et autres résidus solides, même broyés ou agglomérés sous forme de pellets, de l'extraction de graisses ou huiles végétales (à l'excl. des tourteaux et autres résidus solides de l'extraction des graisses ou huiles de soja, d'arachide, de </t>
  </si>
  <si>
    <t>=t("   SEL, Y.C. LE SEL PRÉPARÉ POUR LA TABLE ET LE SEL DÉNATURÉ, ET CHLORURE DE SODIUM PUR, MÊME EN SOLUTION AQUEUSE OU ADDITIONNÉS D'AGENTS ANTIAGGLOMÉRANTS OU D'AGENTS ASSURANT UNE BONNE FLUIDITÉ; EAU DE MER [01/01/1988-31/12/1991: SEL, Y.C. LE SEL PRE</t>
  </si>
  <si>
    <t>=t("   Ecaussines et autres pierres calcaires de taille ou de construction, d'une densité apparente &gt;= 2,5, et albâtre, même dégrossis ou simplement débités, par sciage ou autrement, en blocs ou en plaques de forme carrée ou rectangulaire (à l'excl. des m</t>
  </si>
  <si>
    <t>=t("   Porphyre, basalte et autres pierres de taille ou de construction, même dégrossis ou simplement débités, en blocs ou en plaques de forme carrée ou rectangulaire (sauf granit, grès, pierres présentées sous la forme de granulés, d'éclats ou de poudres</t>
  </si>
  <si>
    <t xml:space="preserve">=t("   Granulés, éclats et poudres, même traités thermiquement, de travertins, d'écaussines, d'albâtre, de granit, de grès, de porphyre, de syénite, de lave, de basalte, de gneiss, de trachyte et autres pierres du n° 2515 et 2516 (à l'excl. des granulés, </t>
  </si>
  <si>
    <t>=t("   Médicaments constitués par des produits mélangés entre eux, préparés à des fins thérapeutiques ou prophylactiques, mais ni présentés sous forme de doses, ni conditionnés pour la vente au détail (sauf produits du n° 3002, 3005 ou 3006, médicaments c</t>
  </si>
  <si>
    <t>=t("   Médicaments contenant des antibiotiques, présentés sous forme de doses [y.c. ceux destinés à être administrés par voie percutanée] ou conditionnés pour la vente au détail (à l'excl. des produits contenant des pénicillines ou des dérivés de ces prod</t>
  </si>
  <si>
    <t>=t("   Médicaments contenant des hormones ou des stéroïdes utilisés comme hormones, mais ne contenant pas d'antibiotiques, présentés sous forme de doses [y.c. ceux destinés à être administrés par voie percutanée] ou conditionnés pour la vente au détail (à</t>
  </si>
  <si>
    <t>=t("   Médicaments constitués par des produits mélangés ou non, préparés à des fins thérapeutiques ou prophylactiques, présentés sous forme de doses [y.c. ceux destinés à être administrés par voie percutanée] ou conditionnés pour la vente au détail (à l'e</t>
  </si>
  <si>
    <t>=t("   OUATES, GAZES, BANDES ET ARTICLES ANALOGUES [PANSEMENTS, SPARADRAPS, SINAPISMES, P.EX.], IMPRÉGNÉS OU RECOUVERTS DE SUBSTANCES PHARMACEUTIQUES OU CONDITIONNÉS POUR LA VENTE AU DÉTAIL À DES FINS MÉDICALES, CHIRURGICALES, DENTAIRES OU VÉTÉRINAIRES (À</t>
  </si>
  <si>
    <t>=t("   PEINTURES ET VERNIS À BASE DE POLYMÈRES ACRYLIQUES OU VINYLIQUES, DISPERSÉS OU DISSOUS DANS UN MILIEU NON-AQUEUX, ET PRODUITS À BASE DE POLYMÈRES ACRYLIQUES OU VINYLIQUES EN SOLUTION DANS DES SOLVANTS ORGANIQUES VOLATILS, POUR AUTANT QUE LA PROPORT</t>
  </si>
  <si>
    <t xml:space="preserve">=t("   PEINTURES ET VERNIS À BASE DE POLYMÈRES SYNTHÉTIQUES OU DE POLYMÈRES NATURELS MODIFIÉS, DISPERSÉS OU DISSOUS DANS UN MILIEU NON-AQUEUX; PRODUITS VISÉS DANS LE LIBELLÉ DU N° 3901 À 3913 EN SOLUTION DANS DES SOLVANTS ORGANIQUES VOLATILS, POUR AUTANT </t>
  </si>
  <si>
    <t>=t("   Produits de beauté ou de maquillage préparés et préparations pour l'entretien ou les soins de la peau, y.c. les préparations antisolaires et les préparations pour bronzer (à l'excl. des médicaments, des produits de maquillage pour les lèvres ou les</t>
  </si>
  <si>
    <t>=t("   Savons, produits et préparations organiques tensio-actifs à usage de savon, en barres, en pains, en morceaux ou en sujets frappés, et papier, ouates, feutres et nontissés, imprégnés, enduits ou recouverts de savon ou de détergents, pour la toilette</t>
  </si>
  <si>
    <t>=t("   Savons, produits et préparations organiques tensio-actifs à usage de savon, en barres, en pains, en morceaux ou en sujets frappés, et papier, ouates, feutres et nontissés, imprégnés, enduits ou recouverts de savon ou de détergents (à l'excl. des pr</t>
  </si>
  <si>
    <t xml:space="preserve">=t("   PLAQUES, FEUILLES, PELLICULES, BANDES ET LAMES, EN POLYMÈRES DU PROPYLÈNE NON-ALVÉOLAIRES, NON-RENFORCÉES NI STRATIFIÉES, NI MUNIES D'UN SUPPORT, NI PAREILLEMENT ASSOCIÉES À D'AUTRES MATIÈRES, NON-TRAVAILLÉES OU SIMPL. OUVRÉES EN SURFACE OU SIMPL. </t>
  </si>
  <si>
    <t>=t("   Articles de transport ou d'emballage, en matières plastiques (à l'excl. des boîtes, caisses, casiers et articles simil., des sacs, sachets, pochettes et cornets, des bonbonnes, bouteilles, flacons et articles simil., des bobines, fusettes, canettes</t>
  </si>
  <si>
    <t>=t("   Articles de ménage ou d'économie domestique et articles d'hygiène ou de toilette, en matières plastiques (à l'excl. de la vaisselle et des articles pour usages sanitaires ou hygiéniques tels que baignoires, douches, lavabos, bidets, réservoirs de c</t>
  </si>
  <si>
    <t>=t("   CUIRS ET PEAUX ÉPILÉS D'ANTILOPES, DE CHEVREUILS, D'ÉLANS, D'ÉLÉPHANTS ET D'AUTRES ANIMAUX, Y.C. LES ANIMAUX AQUATIQUES, ET PEAUX D'ANIMAUX DÉPOURVUS DE POILS, À L'ÉTAT SEC [EN CRO¹TE], MÊME REFENDUS (SAUF AUTREMENT PRÉPARÉS AINSI QUE SIMPLEMENT PR</t>
  </si>
  <si>
    <t>=t("   Sacs de voyage, trousses de toilette, sacs à dos, sacs à provisions, porte-cartes, trousses à outils, sacs pour articles de sport, boîtes pour bijoux, écrins pour orfèvrerie et étuis pour jumelles, appareils photographiques, caméras, instruments de</t>
  </si>
  <si>
    <t>=t("   Bois bruts des bois tropicaux visés à la note 1 de sous-position du présent chapitre, même écorcés, désaubiérés ou équarris (à l'excl. des bois de dark red meranti, light red meranti, meranti bakau, des bois traités avec une peinture, de la créosot</t>
  </si>
  <si>
    <t xml:space="preserve">=t("   BOIS BRUTS, MÊME ÉCORCÉS, DÉSAUBIÉRÉS OU ÉQUARRIS (SAUF BOIS DE CONIFÈRES, BOIS DE CHÊNE 'QUERCUS SPP.' OU DE HÊTRE 'FAGUS SPP.', BOIS TROPICAUX VISÉS À LA NOTE 1 DE SOUS-POSITION DU PRÉSENT CHAPITRE, BOIS SIMPL. DÉGROSSIS OU ARRONDIS POUR CANNES, </t>
  </si>
  <si>
    <t>=t("   Bois tropicaux visés à la note 1 de sous-position du présent chapitre, sciés ou dédossés longitudinalement, tranchés ou déroulés, même rabotés, poncés ou collés par assemblage en bout, d'une épaisseur &gt; 6 mm (sauf virola, mahogany 'Swietenia spp.',</t>
  </si>
  <si>
    <t>=t("   Bois sciés ou dédossés longitudinalement, tranchés ou déroulés, d'une épaisseur &gt; 6 mm, même rabotés, poncés ou collés par assemblage en bout (à l'excl. des bois tropicaux visés à la note 1 de sous-position du présent chapitre ainsi que des bois de</t>
  </si>
  <si>
    <t>=t("   BOIS DE CONIFÈRES, Y.C. LES LAMES ET FRISES POUR PARQUETS, NON-ASSEMBLÉES, PROFILÉS "LANGUETÉS, RAINÉS, BOUVETÉS, FEUILLURÉS, CHANFREINÉS, JOINTS EN V, MOULURÉS, ARRONDIS OU SIMIL." TOUT AU LONG D'UNE OU DE PLUSIEURS RIVES, FACES OU BOUTS, MÊME RAB</t>
  </si>
  <si>
    <t xml:space="preserve">=t("   BOIS PLAQUÉS ET BOIS STRATIFIÉS SIMIL., SANS ÂME PANNEAUTÉE, LATTÉE OU LAMELLÉE (À L'EXCL. DE BAMBOO, DES BOIS CONTRE-PLAQUÉS CONSTITUÉS EXCLUSIVEMENT DE FEUILLES DE BOIS DONT CHACUNE A UNE ÉPAISSEUR &lt;= 6 MM, DES PANNEAUX EN BOIS DITS 'DENSIFIÉS', </t>
  </si>
  <si>
    <t>=t("   Ouvrages de vannerie obtenus directement en forme à partir de matières à tresser végétales ou confectionnés à l'aide des matières à tresser végétales du n° 4601; ouvrages en luffa (sauf revêtements muraux du n° 4814, ficelles, cordes et cordages, c</t>
  </si>
  <si>
    <t xml:space="preserve">=t("   PAPIERS, CARTONS, OUATE DE CELLULOSE ET NAPPES DE FIBRES DE CELLULOSE, EN BANDES OU EN ROULEAUX D'UNE LARGEUR &lt;= 36 CM OU EN FEUILLES DE FORME CARRÉE OU RECTANGULAIRE DONT AUCUN CÔTÉ &gt; 36 CM À L'ÉTAT NON-PLIÉ, OU DÉCOUPÉS DE FORME AUTRE QUE CARRÉE </t>
  </si>
  <si>
    <t>=t("   TIMBRES-POSTE, TIMBRES FISCAUX ET ANALOGUES, NON-OBLITÉRÉS, AYANT COURS OU DESTINÉS À AVOIR COURS DANS LE PAYS DANS LEQUEL ILS ONT,  OU AURONT, UNE VALEUR FACIALE RECONNUE; PAPIER TIMBRÉ; BILLETS DE BANQUE; CHÈQUES; TITRES D'ACTIONS OU D'OBLIGATION</t>
  </si>
  <si>
    <t xml:space="preserve">=t("   Fils simples de coton, en fibres non peignées, contenant &gt;= 85% en poids de coton, titrant &gt;= 232,56 décitex mais &lt; 714,29 décitex [&gt; 14 numéros métriques mais &lt;= 43 numéros métriques] (sauf les fils à coudre et les fils conditionnés pour la vente </t>
  </si>
  <si>
    <t>=t("   Tissus de coton, écrus, contenant en prédominance, mais &lt; 85% en poids de coton, mélangés principalement ou uniquement avec des fibres synthétiques ou artificielles, d'un poids &lt;= 200 g/m² (à l'excl. des tissus à armure toile ou à armure sergé [y.c</t>
  </si>
  <si>
    <t>=t("   Tapis et autres revêtements de sol, de matières textiles végétales ou de poils grossiers, tissés, non touffetés ni floqués, sans velours, confectionnés (à l'excl. des revêtements de sol en coco ainsi que des tapis dits 'kelim', 'kilim', 'schumacks'</t>
  </si>
  <si>
    <t xml:space="preserve">=t("   Etoffes de bonneterie, d'une largeur &gt; 30 cm (sauf de fibres synthétiques ou artificielles, coton, laine ou poils fins, étoffes de bonneterie-chaîne, y.c. celles fabriquées sur métiers à galonner, et à l'excl. de celles contenant en poids &gt;= 5% de </t>
  </si>
  <si>
    <t>=t("   Costumes ou complets, de matières textiles, pour hommes ou garçonnets (autres que laine, poils fins ou fibres synthétiques, autres qu'en bonneterie et sauf survêtements de sport 'trainings', combinaisons et ensembles de ski, maillots, culottes et s</t>
  </si>
  <si>
    <t>=t("   Pantalons, y.c. knickers et pantalons simil., salopettes à bretelles, culottes et shorts, de matières textiles, pour hommes ou garçonnets (autres que laine, poils fins, coton ou fibres synthétiques, autres qu'en bonneterie et sauf slips et caleçons</t>
  </si>
  <si>
    <t>=t("   Vêtements de tissus, autres qu'en bonneterie, caoutchoutés ou imprégnés, enduits ou recouverts de matière plastique ou d'autres substances, pour hommes ou garçonnets (autres que vêtements des types du n° 6201.11 à 6201.19 [manteaux, cabans, capes e</t>
  </si>
  <si>
    <t>=t("   Vêtements de tissus, autres qu'en bonneterie, caoutchoutés ou imprégnés, enduits ou recouverts de matière plastique ou d'autres substances, pour femmes ou fillettes (autres que vêtements des types du n° 6202.11 à 6202.19 [manteaux, cabans, capes et</t>
  </si>
  <si>
    <t>=t("   Articles de friperie composés de vêtements, accessoires du vêtement, couvertures, linge de maison et articles d'aménagement intérieur, en tous types de matières textiles, y.c. les chaussures et coiffures de tous genres, manifestement usagés et prés</t>
  </si>
  <si>
    <t>=t("   Chaussures étanches, à semelles extérieures et dessus en caoutchouc ou en matière plastique, dont le dessus n'a été ni réuni à la semelle extérieure par couture ou par rivets, clous, vis, tétons ou dispositifs simil., ni formé de différentes partie</t>
  </si>
  <si>
    <t>=t("   CHAUSSURES À SEMELLES EXTÉRIEURES ET DESSUS EN CAOUTCHOUC OU EN MATIÈRES PLASTIQUES (SAUF COUVRANT LA CHEVILLE OU À DESSUS EN LANIÈRES OU BRIDES FIXÉES À LA SEMELLE PAR DES TÉTONS AINSI QUE DES CHAUSSURES ÉTANCHES DU N° 6401, DES CHAUSSURES D'ORTHO</t>
  </si>
  <si>
    <t>=t("   CHAUSSURES À SEMELLES EXTÉRIEURES EN CAOUTCHOUC OU EN MATIÈRE PLASTIQUE ET À DESSUS EN AUTRES MATIÈRES QUE CAOUTCHOUC, MATIÈRE PLASTIQUE, CUIR OU MATIÈRES TEXTILES; CHAUSSURES À SEMELLES EXTÉRIEURES EN CUIR NATUREL OU RECONSTITUÉ ET À DESSUS EN D'A</t>
  </si>
  <si>
    <t>=t("   Pierres calcaires autres que marbre, travertin et albâtre et ouvrages en ces pierres, simplement taillés ou sciés et à surface plane ou unie (sauf à surface entièrement ou partiellement rabotée, poncée au papier sablé, grossièrement ou finement meu</t>
  </si>
  <si>
    <t>=t("   Pierres de taille ou de construction, naturelles, autres que les pierres calcaires, le granit et l'ardoise et ouvrages en ces pierres, simplement taillées ou sciées et à surface plane ou unie (sauf à surface entièrement ou partiellement rabotée, po</t>
  </si>
  <si>
    <t>=t("   Planches, plaques, panneaux, carreaux et articles simil., en plâtre ou en compositions à base de plâtre, non ornementés, revêtus ou renforcés de papier ou de carton uniquement (sauf ouvrages à liaison en plâtre à usage d'isolants thermiques ou sono</t>
  </si>
  <si>
    <t>=t("   Carreaux et dalles de pavement ou de revêtement, en céramique, vernissés ou émaillés (sauf articles en farines siliceuses fossiles ou en terres siliceuses analogues, articles céramiques réfractaires, carreaux servant de dessous-de-plat, objets d'or</t>
  </si>
  <si>
    <t>=t("   Vaisselle, autres articles de ménage ou d'économie domestique et articles d'hygiène ou de toilette en céramique, autres que la porcelaine (sauf baignoires, bidets, éviers et autres appareils fixes simil.; statuettes et autres objets d'ornementation</t>
  </si>
  <si>
    <t>=t("   PLAQUES OU FEUILLES EN GLACE [VERRE FLOTTÉ ET VERRE DOUCI ET POLI SUR UNE OU DEUX FACES], NON AUTREMENT TRAVAILLÉE (AUTRE QU'ARMÉE, COLORÉE DANS LA MASSE, OPACIFIÉE, PLAQUÉE [DOUBLÉE] OU SIMPL. DOUCIE, OU À COUCHE ABSORBANTE, RÉFLÉCHISSANTE OU NON-</t>
  </si>
  <si>
    <t>=t("   VERRES FORMÉS DE FEUILLES CONTRECOLLÉES, DE DIMENSIONS ET FORMATS PERMETTANT LEUR EMPLOI DANS LES AUTOMOBILES, VÉHICULES AÉRIENS, BATEAUX OU AUTRES VÉHICULES (À L'EXCL. DES VITRAGES ISOLANTS À PAROIS MULTIPLES) [01/01/1988-31/12/1988: PARE-BRISE FO</t>
  </si>
  <si>
    <t>=t("   Bonbonnes, bouteilles, flacons, bocaux, pots, emballages tubulaires et autres récipients en verre pour le transport ou l'emballage commercial et bocaux à conserves en verre (sauf ampoules, bouteilles isolantes et récipients dont l'isolation est ass</t>
  </si>
  <si>
    <t>=t("   DÉCHETS ET DÉBRIS DE FER OU D'ACIER [FERRAILLES] (SAUF DÉCHETS ET DÉBRIS RADIOACTIFS ET DE PILES, DE BATTERIES DE PILES ET D'ACCUMULATEURS ÉLECTRIQUES; SCORIES, LAITIERS ET AUTRES DÉCHETS DE LA FABRICATION DU FER OU DE L'ACIER; MORCEAUX PROVENANT D</t>
  </si>
  <si>
    <t>=t("   FIL MACHINE EN FER OU ACIERS NON-ALLIÉS, ENROULÉ EN COURONNES IRRÉGULIÈRES (AUTRE QUE DE SECTION CIRCULAIRE DE DIAMÈTRE &lt; 14 MM, AUTRE QUE FIL MACHINE EN ACIERS DE DÉCOLLETAGE, OU AVEC INDENTATIONS, BOURRELETS, CREUX OU RELIEFS OBTENUS LORS DU LAMI</t>
  </si>
  <si>
    <t>=t("   BARRES EN FER OU EN ACIERS NON-ALLIÉS, SIMPL. LAMINÉES OU FILÉES À CHAUD (À L'EXCL. DE SECTION TRANSVERSALE RECTANGULAIRE, DES BARRES COMPORTANT DES INDENTATIONS, BOURRELETS, CREUX OU RELIEFS OBTENUS AU COURS DU LAMINAGE OU AYANT SUBI UNE TORSION A</t>
  </si>
  <si>
    <t>=t("   Profilés en fer ou en aciers non alliés, obtenus ou parachevés à froid et ayant subi certaines ouvraisons plus poussées (autres que obtenus à partir de produits laminés plats) ou simplement forgés ou forgés ou autrement obtenus à chaud et ayant sub</t>
  </si>
  <si>
    <t>=t("   Réservoirs, foudres, cuves et récipients simil. en fonte, fer ou acier, pour toutes matières (à l'excl. des gaz comprimés ou liquéfiés), d'une contenance &gt; 300 l, sans dispositifs mécaniques ou thermiques, même avec revêtement intérieur ou calorifu</t>
  </si>
  <si>
    <t>=t("   Vis et boulons filetés, en fonte, fer ou acier, même avec leurs écrous ou rondelles (à l'excl. des tire-fond et autres vis à bois, crochets et pitons à pas de vis, vis autotaraudeuses, clous taraudeurs ainsi que des chevilles vissées, tampons et ar</t>
  </si>
  <si>
    <t>=t("   Articles de ménage ou d'économie domestique et leurs parties, en aciers inoxydables (à l'excl. des bidons, boîtes et récipients simil. du n° 7310; poubelles; pelles, tire-bouchons et autres articles à caractère d'outils; coutellerie et cuillers, lo</t>
  </si>
  <si>
    <t>=t("   Articles de ménage ou d'économie domestique et leurs parties, en fer ou en aciers autres qu'inoxydables, émaillés (à l'excl. de la fonte; des bidons, boîtes et récipients simil. du n° 7310; poubelles; pelles et autres articles à caractère d'outils;</t>
  </si>
  <si>
    <t>=t("   Articles de ménage ou d'économie domestique et leurs parties, en fer ou aciers autres qu'inoxydables (sauf fonte et articles émaillés; bidons, boîtes et récipients simil. du n° 7310; poubelles; pelles, tire-bouchons et autres articles à caractère d</t>
  </si>
  <si>
    <t>=t("   Articles d'hygiène ou de toilette et leurs parties, en fonte, fer ou acier (à l'excl. des bidons, boîtes et récipients simil. du n° 7310, des petites armoires suspendues à pharmacie ou de toilette et autres meubles du chapitre 94, des éviers et lav</t>
  </si>
  <si>
    <t>=t("   ARTICLES DE MÉNAGE OU D'ÉCONOMIE DOMESTIQUE ET LEURS PARTIES, EN CUIVRE (SAUF ÉPONGES, TORCHONS, GANTS ET ARTICLES SIMIL.; BIDONS, BOÎTES ET RÉCIPIENTS SIMIL. DU N° 7419; ARTICLES À CARACTÈRE D'OUTILS; COUTELLERIE, CUILLERS, FOURCHETTES, ETC.; OBJE</t>
  </si>
  <si>
    <t>=t("   Déchets et débris d'aluminium (sauf scories, mâchefer, etc., produits par la sidérurgie et contenant de l'aluminium récupérable sous forme de silicates, les déchets lingotés et autres formes brutes simil. en déchets ou débris d'aluminium fondus, et</t>
  </si>
  <si>
    <t>=t("   FILS EN ALUMINIUM NON ALLIÉ, DONT LA PLUS GRANDE DIMENSION DE LA SECTION TRANSVERSALE EST &lt;= 7 MM (À L'EXCL. DES CORDES HARMONIQUES, DES FILS ISOLÉS POUR L'ÉLECTRICITÉ AINSI QUE DES TORONS, CÂBLES, TRESSES ET ARTICLES SIMIL. DU N° 7614) [01/01/1988</t>
  </si>
  <si>
    <t>=t("   Articles de ménage, d'économie domestique, et leurs parties, en aluminium (sauf éponges, torchons, gants et articles simil.; bidons, boîtes et récipients simil. du n° 7612; articles ayant le caractère d'outils, cuillers, louches, fourchettes et art</t>
  </si>
  <si>
    <t>=t("   Cuillers, fourchettes, louches, écumoires, pelles à tartes, couteaux spéciaux à poisson ou à beurre, pinces à sucre et articles simil., en métaux communs, ni argentés, ni dorés, ni platinés (sauf en assortiments et sauf cisailles à volaille et à ho</t>
  </si>
  <si>
    <t>=t("   MOTEURS À PISTON ALTERNATIF OU ROTATIF, À ALLUMAGE PAR ÉTINCELLES "MOTEURS À EXPLOSION" (AUTRES QUE MOTEURS POUR AÉRONEFS, MOTEURS POUR LA PROPULSION DE BATEAUX ET AUTRES QUE LES MOTEURS À PISTON ALTERNATIF DES TYPES UTILISÉS POUR LA PROPULSION DES</t>
  </si>
  <si>
    <t>=t("   MOTEURS À PISTON, À ALLUMAGE PAR COMPRESSION "MOTEURS DIESEL OU SEMI-DIESEL", DES TYPES UTILISÉS POUR LA PROPULSION DES VÉHICULES DU CHAPITRE 87"")</t>
  </si>
  <si>
    <t>=t("   MOTEURS À PISTON, À ALLUMAGE PAR COMPRESSION "MOTEURS DIESEL OU SEMI-DIESEL" (AUTRES QUE MOTEURS DE PROPULSION POUR BATEAUX ET SAUF MOTEURS DES TYPES UTILISÉS POUR LA PROPULSION DES VÉHICULES DU CHAPITRE 87)")</t>
  </si>
  <si>
    <t xml:space="preserve">=t("   Pompes pour liquides à moteur (sauf pompes à dispositif mesureur ou conçues pour en comporter du n° 8413.11 ou 8413.19, pompes à carburant, à huile ou à liquide de refroidissement pour moteurs à allumage par étincelles ou par compression, pompes à </t>
  </si>
  <si>
    <t>=t("   MEUBLES [COFFRES, ARMOIRES, VITRINES, COMPTOIRS ET SIMIL.] POUR LA CONSERVATION ET L'EXPOSITION DE PRODUITS, INCORPORANT UN ÉQUIPEMENT POUR LA PRODUCTION DU FROID (SAUF RÉFRIGÉRATEURS ET CONGÉLATEURS-CONSERVATEURS COMBINÉS, À PORTES EXTÉRIEURES SÉP</t>
  </si>
  <si>
    <t xml:space="preserve">=t("   Appareils et dispositifs, même chauffés électriquement, pour le traitement de matières par des opérations impliquant un changement de température telles que le chauffage, la cuisson, la torréfaction, la stérilisation, la pasteurisation, l'étuvage, </t>
  </si>
  <si>
    <t>=t("   PISTOLETS AÉROGRAPHES ET APPAREILS SIMIL. (À L'EXCL. DES MACHINES ET APPAREILS ÉLECTRIQUES POUR LA PROJECTION À CHAUD DE MÉTAUX OU DE CARBURES MÉTALLIQUES FRITTÉS [N¦ 8515] AINSI QUE DES MACHINES ET APPAREILS À JET DE SABLE, VAPEUR, ETC.) [01/01/19</t>
  </si>
  <si>
    <t>=t("   MACHINES ET APPAREILS SERVANT À L'IMPRESSION AU MOYEN DE PLANCHES, CYLINDRES ET AUTRES ORGANES IMPRIMANTS DU N° 8442 (À L'EXCL. DES DUPLICATEURS HECTOGRAPHIQUES OU À STENCILS, DES MACHINES À IMPRIMER LES ADRESSES ET AUTRES MACHINES DE BUREAU À IMPR</t>
  </si>
  <si>
    <t>=t("   Machines et appareils servant à l'impression au moyen de caractères d'imprimerie, clichés, planches, cylindres et autres organes imprimants du n° 8442 (à l'excl. des duplicateurs hectographiques ou à stencils, des machines à imprimer les adresses e</t>
  </si>
  <si>
    <t>=t("   MACHINES À PERCER, POUR LE TRAVAIL DES MÉTAUX (À L'EXCL. DES MACHINES À COMMANDE NUMÉRIQUE, DES UNITÉS D'USINAGE À GLISSIÈRES ET DES MACHINES MUES À LA MAIN) [01/01/1988-31/12/1994: MACHINES A PERCER LES METAUX PAR ENLEVEMENT DE MATIÈRES (AUTRES QU</t>
  </si>
  <si>
    <t>=t("   Machines à dégauchir ou à raboter; machines à fraiser ou à moulurer, pour le travail du bois, des matières plastiques dures, etc. (autres que les machines pour emploi à la main et les machines pouvant effectuer différents types d'opérations d'usina</t>
  </si>
  <si>
    <t>=t("   Groupes électrogènes à moteur à piston à allumage par compression "moteurs diesel ou semi-diesel", puissance &lt;= 75 kVA")</t>
  </si>
  <si>
    <t>=t("   VÉHICULES POUR LE TRANSPORT DE &gt;= 10 PERSONNES, CHAUFFEUR INCLUS, À MOTEUR À PISTON À ALLUMAGE PAR COMPRESSION "MOTEUR DIESEL OU SEMI-DIESEL"")</t>
  </si>
  <si>
    <t>=t("   VOITURES DE TOURISME ET AUTRES VÉHICULES PRINCIPALEMENT CONÇUS POUR LE TRANSPORT DE PERSONNES, Y.C. LES VOITURES DU TYPE 'BREAK' ET LES VOITURES DE COURSE, À MOTEUR À PISTON ALTERNATIF À ALLUMAGE PAR ÉTINCELLES "MOTEUR À EXPLOSION", CYLINDRÉE &gt; 1.0</t>
  </si>
  <si>
    <t>=t("   VOITURES DE TOURISME ET AUTRES VÉHICULES PRINCIPALEMENT CONÇUS POUR LE TRANSPORT DE PERSONNES, Y.C. LES VOITURES DU TYPE 'BREAK' ET LES VOITURES DE COURSE, À MOTEUR À PISTON ALTERNATIF À ALLUMAGE PAR ÉTINCELLES "MOTEUR À EXPLOSION", CYLINDRÉE &gt; 1.5</t>
  </si>
  <si>
    <t>=t("   VOITURES DE TOURISME ET AUTRES VÉHICULES PRINCIPALEMENT CONÇUS POUR LE TRANSPORT DE PERSONNES, Y.C. LES VOITURES DU TYPE 'BREAK' ET LES VOITURES DE COURSE, À MOTEUR À PISTON ALTERNATIF À ALLUMAGE PAR ÉTINCELLES "MOTEUR À EXPLOSION", CYLINDRÉE &gt; 3.0</t>
  </si>
  <si>
    <t>=t("   VOITURES DE TOURISME ET AUTRES VÉHICULES PRINCIPALEMENT CONÇUS POUR LE TRANSPORT DE PERSONNES, Y.C. LES VOITURES DU TYPE 'BREAK' ET LES VOITURES DE COURSE, À MOTEUR À PISTON À ALLUMAGE PAR COMPRESSION "MOTEUR DIESEL OU SEMI-DIESEL", CYLINDRÉE &lt;= 1.</t>
  </si>
  <si>
    <t>=t("   VOITURES DE TOURISME ET AUTRES VÉHICULES PRINCIPALEMENT CONÇUS POUR LE TRANSPORT DE PERSONNES, Y.C. LES VOITURES DU TYPE 'BREAK' ET LES VOITURES DE COURSE, À MOTEUR À PISTON À ALLUMAGE PAR COMPRESSION "MOTEUR DIESEL OU SEMI-DIESEL", CYLINDRÉE &gt; 1.5</t>
  </si>
  <si>
    <t>=t("   VÉHICULES POUR LE TRANSPORT DE MARCHANDISES, À MOTEUR À PISTON À ALLUMAGE PAR COMPRESSION "MOTEUR DIESEL OU SEMI-DIESEL", POIDS EN CHARGE MAXIMAL &lt;= 5 T (SAUF TOMBEREAUX AUTOMOTEURS DU N° 8704 ET VÉHICULES AUTOMOBILES À USAGES SPÉCIAUX DU N° 8705)"</t>
  </si>
  <si>
    <t>=t("   VÉHICULES POUR LE TRANSPORT DE MARCHANDISES, À MOTEUR À PISTON À ALLUMAGE PAR COMPRESSION "MOTEUR DIESEL OU SEMI-DIESEL", POIDS EN CHARGE MAXIMAL &gt; 5 T MAIS &lt;= 20 T (SAUF TOMBEREAUX AUTOMOTEURS DU N° 8704.10, VÉHICULES AUTOMOBILES À USAGES SPÉCIAUX</t>
  </si>
  <si>
    <t>=t("   VÉHICULES POUR LE TRANSPORT DE MARCHANDISES, À MOTEUR À PISTON À ALLUMAGE PAR COMPRESSION "MOTEUR DIESEL OU SEMI-DIESEL", POIDS EN CHARGE MAXIMAL &gt; 20 T (SAUF TOMBEREAUX AUTOMOTEURS DU N° 8704.10, VÉHICULES AUTOMOBILES À USAGES SPÉCIAUX DU N° 8705)</t>
  </si>
  <si>
    <t>=t("   VÉHICULES POUR LE TRANSPORT DE MARCHANDISES, À MOTEUR À PISTON À ALLUMAGE PAR ÉTINCELLES "MOTEUR À EXPLOSION", POIDS EN CHARGE MAXIMAL &lt;= 5 T (SAUF TOMBEREAUX AUTOMOTEURS DU N° 8704.10, VÉHICULES AUTOMOBILES À USAGES SPÉCIAUX DU N° 8705)")</t>
  </si>
  <si>
    <t>=t("   Véhicules automobiles à usages spéciaux (autres que ceux principalement conçus pour le transport de personnes ou de marchandises et sauf camions-béonnières, voitures de lutte contre l'incendie, derricks automobiles pour le sondage ou le forage, cam</t>
  </si>
  <si>
    <t xml:space="preserve">=t("   CHÂSSIS DE TRACTEURS, VÉHICULES POUR LE TRANSPORT DE &gt;= 10 PERSONNES, CHAUFFEUR INCLUS, VOITURES DE TOURISME, VÉHICULES POUR LE TRANSPORT DE MARCHANDISES ET VÉHICULES À USAGES SPÉCIAUX DU N° 8701 À 8705, ÉQUIPÉS DE LEUR MOTEUR (SAUF AVEC MOTEUR ET </t>
  </si>
  <si>
    <t>=t("   Appareils et matériel pour le développement automatique des pellicules photographiques, des films cinématographiques ou du papier photographique en rouleaux ou pour l'impression automatique des pellicules développées sur des rouleaux de papier phot</t>
  </si>
  <si>
    <t>=t("   Instruments, appareils et modèles conçus pour la démonstration, p.ex. dans l'enseignement ou les expositions, non susceptibles d'autres emplois (à l'excl. des appareils au sol d'entraînement au vol du n° 8805, des spécimens pour collections du n° 9</t>
  </si>
  <si>
    <t>=t("   DENSIMÈTRES, ARÉOMÈTRES, PÈSE-LIQUIDES ET INSTRUMENTS FLOTTANTS SIMIL., BAROMÈTRES, HYGROMÈTRES ET PSYCHROMÈTRES, MÊME COMBINÉS ENTRE EUX OU COMBINÉS À DES THERMOMÈTRES [01/01/1988-31/12/1991: DENSIMÈTRES, ARÉOMÈTRES, PESE-LIQUIDES ET SIMILAIRES, P</t>
  </si>
  <si>
    <t>=t("   Microtomes; parties et accessoires des instruments et appareils pour analyses physiques ou chimiques, p.ex. polarimètres, réfractomètres, spectromètres, des instruments et appareils pour essais de viscosité, de porosité, de dilatation, de tension s</t>
  </si>
  <si>
    <t>=t("   Articles de literie et simil., garnis de plumes, rembourrés, garnis de matières de toutes sortes, y.c. caoutchouc alvéolaire ou matières plastiques alvéolaires (sauf sommiers, matelas, sacs de couchage, matelas à eau, matelas pneumatiques et oreill</t>
  </si>
  <si>
    <t>Source: Copyright © 1958 - 2003 European Community, Eurostat. All Rights Reserved. Comext: k0000036.txt  Extracted: 07/10/2014</t>
  </si>
  <si>
    <t>tant un intérêt historique, archéologique, paléontologique, ethnographique ou numismatique")</t>
  </si>
  <si>
    <t xml:space="preserve"> matelas à eau, matelas pneumatiques et oreillers, ai")</t>
  </si>
  <si>
    <t>Table generation of Extraction from Plan "k0000033,mtx"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</si>
</sst>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8"/>
  <sheetViews>
    <sheetView tabSelected="1" topLeftCell="A7" workbookViewId="0">
      <selection activeCell="C7" sqref="C1:D1048576"/>
    </sheetView>
  </sheetViews>
  <sheetFormatPr baseColWidth="10" defaultRowHeight="15" x14ac:dyDescent="0.25"/>
  <sheetData>
    <row r="1" spans="1:4" x14ac:dyDescent="0.25">
      <c r="C1" t="s">
        <v>122</v>
      </c>
    </row>
    <row r="3" spans="1:4" x14ac:dyDescent="0.25">
      <c r="A3" t="s">
        <v>0</v>
      </c>
      <c r="B3" t="str">
        <f>T("07/10/2014")</f>
        <v>07/10/2014</v>
      </c>
    </row>
    <row r="4" spans="1:4" x14ac:dyDescent="0.25">
      <c r="A4" t="s">
        <v>1</v>
      </c>
      <c r="B4" t="str">
        <f>T("00")</f>
        <v>00</v>
      </c>
    </row>
    <row r="5" spans="1:4" x14ac:dyDescent="0.25">
      <c r="A5" t="s">
        <v>2</v>
      </c>
      <c r="B5" t="str">
        <f>T("2012")</f>
        <v>2012</v>
      </c>
    </row>
    <row r="6" spans="1:4" x14ac:dyDescent="0.25">
      <c r="A6" t="s">
        <v>3</v>
      </c>
      <c r="B6" t="str">
        <f>T("ZZ_7Bureaux")</f>
        <v>ZZ_7Bureaux</v>
      </c>
    </row>
    <row r="7" spans="1:4" x14ac:dyDescent="0.25">
      <c r="A7" t="s">
        <v>4</v>
      </c>
      <c r="B7" t="str">
        <f>T("CS")</f>
        <v>CS</v>
      </c>
    </row>
    <row r="8" spans="1:4" x14ac:dyDescent="0.25">
      <c r="A8" t="s">
        <v>5</v>
      </c>
      <c r="B8" t="str">
        <f>T("ET")</f>
        <v>ET</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T("AE")</f>
        <v>AE</v>
      </c>
      <c r="B16" t="str">
        <f>T("Emirats Arabes Unis")</f>
        <v>Emirats Arabes Unis</v>
      </c>
    </row>
    <row r="17" spans="1:4" x14ac:dyDescent="0.25">
      <c r="A17" t="str">
        <f>T("   ZZ_Total_Produit_SH6")</f>
        <v xml:space="preserve">   ZZ_Total_Produit_SH6</v>
      </c>
      <c r="B17" t="str">
        <f>T("   ZZ_Total_Produit_SH6")</f>
        <v xml:space="preserve">   ZZ_Total_Produit_SH6</v>
      </c>
      <c r="C17">
        <v>503510961</v>
      </c>
      <c r="D17">
        <v>3829636</v>
      </c>
    </row>
    <row r="18" spans="1:4" x14ac:dyDescent="0.25">
      <c r="A18" t="str">
        <f>T("   010620")</f>
        <v xml:space="preserve">   010620</v>
      </c>
      <c r="B18" t="str">
        <f>T("   Reptiles [p.ex. serpents, tortues, alligators, caïmans, iguanes, gavials et lézards], vivants")</f>
        <v xml:space="preserve">   Reptiles [p.ex. serpents, tortues, alligators, caïmans, iguanes, gavials et lézards], vivants</v>
      </c>
      <c r="C18">
        <v>1057227</v>
      </c>
      <c r="D18">
        <v>250</v>
      </c>
    </row>
    <row r="19" spans="1:4" x14ac:dyDescent="0.25">
      <c r="A19" t="str">
        <f>T("   080131")</f>
        <v xml:space="preserve">   080131</v>
      </c>
      <c r="B19" t="str">
        <f>T("   Noix de cajou, fraîches ou sèches, en coques")</f>
        <v xml:space="preserve">   Noix de cajou, fraîches ou sèches, en coques</v>
      </c>
      <c r="C19">
        <v>378600000</v>
      </c>
      <c r="D19">
        <v>1893000</v>
      </c>
    </row>
    <row r="20" spans="1:4" x14ac:dyDescent="0.25">
      <c r="A20" t="str">
        <f>T("   440399")</f>
        <v xml:space="preserve">   440399</v>
      </c>
      <c r="B20" t="s">
        <v>47</v>
      </c>
      <c r="C20">
        <v>3000000</v>
      </c>
      <c r="D20">
        <v>60000</v>
      </c>
    </row>
    <row r="21" spans="1:4" x14ac:dyDescent="0.25">
      <c r="A21" t="str">
        <f>T("   440729")</f>
        <v xml:space="preserve">   440729</v>
      </c>
      <c r="B21" t="s">
        <v>48</v>
      </c>
      <c r="C21">
        <v>14153311</v>
      </c>
      <c r="D21">
        <v>45000</v>
      </c>
    </row>
    <row r="22" spans="1:4" x14ac:dyDescent="0.25">
      <c r="A22" t="str">
        <f>T("   720429")</f>
        <v xml:space="preserve">   720429</v>
      </c>
      <c r="B22"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2">
        <v>5000000</v>
      </c>
      <c r="D22">
        <v>100000</v>
      </c>
    </row>
    <row r="23" spans="1:4" x14ac:dyDescent="0.25">
      <c r="A23" t="str">
        <f>T("   720430")</f>
        <v xml:space="preserve">   720430</v>
      </c>
      <c r="B23"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23">
        <v>34022000</v>
      </c>
      <c r="D23">
        <v>680440</v>
      </c>
    </row>
    <row r="24" spans="1:4" x14ac:dyDescent="0.25">
      <c r="A24" t="str">
        <f>T("   720449")</f>
        <v xml:space="preserve">   720449</v>
      </c>
      <c r="B24" t="s">
        <v>75</v>
      </c>
      <c r="C24">
        <v>40656000</v>
      </c>
      <c r="D24">
        <v>848120</v>
      </c>
    </row>
    <row r="25" spans="1:4" x14ac:dyDescent="0.25">
      <c r="A25" t="str">
        <f>T("   760200")</f>
        <v xml:space="preserve">   760200</v>
      </c>
      <c r="B25" t="s">
        <v>86</v>
      </c>
      <c r="C25">
        <v>10000000</v>
      </c>
      <c r="D25">
        <v>200000</v>
      </c>
    </row>
    <row r="26" spans="1:4" x14ac:dyDescent="0.25">
      <c r="A26" t="str">
        <f>T("   821210")</f>
        <v xml:space="preserve">   821210</v>
      </c>
      <c r="B26" t="str">
        <f>T("   Rasoirs et rasoirs de sûreté non-électriques, en métaux communs")</f>
        <v xml:space="preserve">   Rasoirs et rasoirs de sûreté non-électriques, en métaux communs</v>
      </c>
      <c r="C26">
        <v>958800</v>
      </c>
      <c r="D26">
        <v>856</v>
      </c>
    </row>
    <row r="27" spans="1:4" x14ac:dyDescent="0.25">
      <c r="A27" t="str">
        <f>T("   870332")</f>
        <v xml:space="preserve">   870332</v>
      </c>
      <c r="B27" t="s">
        <v>107</v>
      </c>
      <c r="C27">
        <v>16063623</v>
      </c>
      <c r="D27">
        <v>1970</v>
      </c>
    </row>
    <row r="28" spans="1:4" x14ac:dyDescent="0.25">
      <c r="A28" t="str">
        <f>T("AO")</f>
        <v>AO</v>
      </c>
      <c r="B28" t="str">
        <f>T("Angola")</f>
        <v>Angola</v>
      </c>
    </row>
    <row r="29" spans="1:4" x14ac:dyDescent="0.25">
      <c r="A29" t="str">
        <f>T("   ZZ_Total_Produit_SH6")</f>
        <v xml:space="preserve">   ZZ_Total_Produit_SH6</v>
      </c>
      <c r="B29" t="str">
        <f>T("   ZZ_Total_Produit_SH6")</f>
        <v xml:space="preserve">   ZZ_Total_Produit_SH6</v>
      </c>
      <c r="C29">
        <v>38734425</v>
      </c>
      <c r="D29">
        <v>78792</v>
      </c>
    </row>
    <row r="30" spans="1:4" x14ac:dyDescent="0.25">
      <c r="A30" t="str">
        <f>T("   190230")</f>
        <v xml:space="preserve">   190230</v>
      </c>
      <c r="B30" t="str">
        <f>T("   Pâtes alimentaires, cuites ou autrement préparées (à l'excl. des pâtes alimentaires farcies)")</f>
        <v xml:space="preserve">   Pâtes alimentaires, cuites ou autrement préparées (à l'excl. des pâtes alimentaires farcies)</v>
      </c>
      <c r="C30">
        <v>23583000</v>
      </c>
      <c r="D30">
        <v>46700</v>
      </c>
    </row>
    <row r="31" spans="1:4" x14ac:dyDescent="0.25">
      <c r="A31" t="str">
        <f>T("   392020")</f>
        <v xml:space="preserve">   392020</v>
      </c>
      <c r="B31" t="s">
        <v>41</v>
      </c>
      <c r="C31">
        <v>947260</v>
      </c>
      <c r="D31">
        <v>467</v>
      </c>
    </row>
    <row r="32" spans="1:4" x14ac:dyDescent="0.25">
      <c r="A32" t="str">
        <f>T("   440799")</f>
        <v xml:space="preserve">   440799</v>
      </c>
      <c r="B32" t="s">
        <v>49</v>
      </c>
      <c r="C32">
        <v>500000</v>
      </c>
      <c r="D32">
        <v>15000</v>
      </c>
    </row>
    <row r="33" spans="1:4" x14ac:dyDescent="0.25">
      <c r="A33" t="str">
        <f>T("   481960")</f>
        <v xml:space="preserve">   481960</v>
      </c>
      <c r="B33" t="str">
        <f>T("   Cartonnages de bureau, de magasin ou simil., rigides (à l'excl. des emballages)")</f>
        <v xml:space="preserve">   Cartonnages de bureau, de magasin ou simil., rigides (à l'excl. des emballages)</v>
      </c>
      <c r="C33">
        <v>584965</v>
      </c>
      <c r="D33">
        <v>1625</v>
      </c>
    </row>
    <row r="34" spans="1:4" x14ac:dyDescent="0.25">
      <c r="A34" t="str">
        <f>T("   940380")</f>
        <v xml:space="preserve">   940380</v>
      </c>
      <c r="B34" t="str">
        <f>T("   Meubles en rotin, osier, bambou ou autres matières (sauf métal, bois et matières plastiques)")</f>
        <v xml:space="preserve">   Meubles en rotin, osier, bambou ou autres matières (sauf métal, bois et matières plastiques)</v>
      </c>
      <c r="C34">
        <v>13119200</v>
      </c>
      <c r="D34">
        <v>15000</v>
      </c>
    </row>
    <row r="35" spans="1:4" x14ac:dyDescent="0.25">
      <c r="A35" t="str">
        <f>T("AU")</f>
        <v>AU</v>
      </c>
      <c r="B35" t="str">
        <f>T("Australie")</f>
        <v>Australie</v>
      </c>
    </row>
    <row r="36" spans="1:4" x14ac:dyDescent="0.25">
      <c r="A36" t="str">
        <f>T("   ZZ_Total_Produit_SH6")</f>
        <v xml:space="preserve">   ZZ_Total_Produit_SH6</v>
      </c>
      <c r="B36" t="str">
        <f>T("   ZZ_Total_Produit_SH6")</f>
        <v xml:space="preserve">   ZZ_Total_Produit_SH6</v>
      </c>
      <c r="C36">
        <v>3000000</v>
      </c>
      <c r="D36">
        <v>5000</v>
      </c>
    </row>
    <row r="37" spans="1:4" x14ac:dyDescent="0.25">
      <c r="A37" t="str">
        <f>T("   843149")</f>
        <v xml:space="preserve">   843149</v>
      </c>
      <c r="B37" t="str">
        <f>T("   Parties de machines et appareils du n° 8426, 8429 ou 8430, n.d.a.")</f>
        <v xml:space="preserve">   Parties de machines et appareils du n° 8426, 8429 ou 8430, n.d.a.</v>
      </c>
      <c r="C37">
        <v>3000000</v>
      </c>
      <c r="D37">
        <v>5000</v>
      </c>
    </row>
    <row r="38" spans="1:4" x14ac:dyDescent="0.25">
      <c r="A38" t="str">
        <f>T("BD")</f>
        <v>BD</v>
      </c>
      <c r="B38" t="str">
        <f>T("Bangladesh")</f>
        <v>Bangladesh</v>
      </c>
    </row>
    <row r="39" spans="1:4" x14ac:dyDescent="0.25">
      <c r="A39" t="str">
        <f>T("   ZZ_Total_Produit_SH6")</f>
        <v xml:space="preserve">   ZZ_Total_Produit_SH6</v>
      </c>
      <c r="B39" t="str">
        <f>T("   ZZ_Total_Produit_SH6")</f>
        <v xml:space="preserve">   ZZ_Total_Produit_SH6</v>
      </c>
      <c r="C39">
        <v>2500000</v>
      </c>
      <c r="D39">
        <v>4000</v>
      </c>
    </row>
    <row r="40" spans="1:4" x14ac:dyDescent="0.25">
      <c r="A40" t="str">
        <f>T("   940380")</f>
        <v xml:space="preserve">   940380</v>
      </c>
      <c r="B40" t="str">
        <f>T("   Meubles en rotin, osier, bambou ou autres matières (sauf métal, bois et matières plastiques)")</f>
        <v xml:space="preserve">   Meubles en rotin, osier, bambou ou autres matières (sauf métal, bois et matières plastiques)</v>
      </c>
      <c r="C40">
        <v>2500000</v>
      </c>
      <c r="D40">
        <v>4000</v>
      </c>
    </row>
    <row r="41" spans="1:4" x14ac:dyDescent="0.25">
      <c r="A41" t="str">
        <f>T("BE")</f>
        <v>BE</v>
      </c>
      <c r="B41" t="str">
        <f>T("Belgique")</f>
        <v>Belgique</v>
      </c>
    </row>
    <row r="42" spans="1:4" x14ac:dyDescent="0.25">
      <c r="A42" t="str">
        <f>T("   ZZ_Total_Produit_SH6")</f>
        <v xml:space="preserve">   ZZ_Total_Produit_SH6</v>
      </c>
      <c r="B42" t="str">
        <f>T("   ZZ_Total_Produit_SH6")</f>
        <v xml:space="preserve">   ZZ_Total_Produit_SH6</v>
      </c>
      <c r="C42">
        <v>228138193</v>
      </c>
      <c r="D42">
        <v>249289.60000000001</v>
      </c>
    </row>
    <row r="43" spans="1:4" x14ac:dyDescent="0.25">
      <c r="A43" t="str">
        <f>T("   080430")</f>
        <v xml:space="preserve">   080430</v>
      </c>
      <c r="B43" t="str">
        <f>T("   Ananas, frais ou secs")</f>
        <v xml:space="preserve">   Ananas, frais ou secs</v>
      </c>
      <c r="C43">
        <v>2571363</v>
      </c>
      <c r="D43">
        <v>450</v>
      </c>
    </row>
    <row r="44" spans="1:4" x14ac:dyDescent="0.25">
      <c r="A44" t="str">
        <f>T("   100630")</f>
        <v xml:space="preserve">   100630</v>
      </c>
      <c r="B44" t="str">
        <f>T("   Riz semi-blanchi ou blanchi, même poli ou glacé")</f>
        <v xml:space="preserve">   Riz semi-blanchi ou blanchi, même poli ou glacé</v>
      </c>
      <c r="C44">
        <v>6848222</v>
      </c>
      <c r="D44">
        <v>12050</v>
      </c>
    </row>
    <row r="45" spans="1:4" x14ac:dyDescent="0.25">
      <c r="A45" t="str">
        <f>T("   110290")</f>
        <v xml:space="preserve">   110290</v>
      </c>
      <c r="B45" t="str">
        <f>T("   FARINES DE CÉRÉALES (À L'EXCL. DES FARINES DE FROMENT [BLÉ], DE MÉTEIL, DE SEIGLE ET DE MAÏS)")</f>
        <v xml:space="preserve">   FARINES DE CÉRÉALES (À L'EXCL. DES FARINES DE FROMENT [BLÉ], DE MÉTEIL, DE SEIGLE ET DE MAÏS)</v>
      </c>
      <c r="C45">
        <v>1200000</v>
      </c>
      <c r="D45">
        <v>17955</v>
      </c>
    </row>
    <row r="46" spans="1:4" x14ac:dyDescent="0.25">
      <c r="A46" t="str">
        <f>T("   120710")</f>
        <v xml:space="preserve">   120710</v>
      </c>
      <c r="B46" t="str">
        <f>T("   NOIX ET AMANDES DE PALMISTES")</f>
        <v xml:space="preserve">   NOIX ET AMANDES DE PALMISTES</v>
      </c>
      <c r="C46">
        <v>46048181</v>
      </c>
      <c r="D46">
        <v>448</v>
      </c>
    </row>
    <row r="47" spans="1:4" x14ac:dyDescent="0.25">
      <c r="A47" t="str">
        <f>T("   120799")</f>
        <v xml:space="preserve">   120799</v>
      </c>
      <c r="B47" t="s">
        <v>20</v>
      </c>
      <c r="C47">
        <v>12966503</v>
      </c>
      <c r="D47">
        <v>35283</v>
      </c>
    </row>
    <row r="48" spans="1:4" x14ac:dyDescent="0.25">
      <c r="A48" t="str">
        <f>T("   151110")</f>
        <v xml:space="preserve">   151110</v>
      </c>
      <c r="B48" t="str">
        <f>T("   Huile de palme, brute")</f>
        <v xml:space="preserve">   Huile de palme, brute</v>
      </c>
      <c r="C48">
        <v>51987425</v>
      </c>
      <c r="D48">
        <v>84400</v>
      </c>
    </row>
    <row r="49" spans="1:4" x14ac:dyDescent="0.25">
      <c r="A49" t="str">
        <f>T("   151590")</f>
        <v xml:space="preserve">   151590</v>
      </c>
      <c r="B49" t="s">
        <v>22</v>
      </c>
      <c r="C49">
        <v>11685767</v>
      </c>
      <c r="D49">
        <v>20231</v>
      </c>
    </row>
    <row r="50" spans="1:4" x14ac:dyDescent="0.25">
      <c r="A50" t="str">
        <f>T("   420310")</f>
        <v xml:space="preserve">   420310</v>
      </c>
      <c r="B50" t="str">
        <f>T("   Vêtements, en cuir naturel ou reconstitué (à l'excl. des accessoires du vêtement, des chaussures ou des coiffures et leurs parties ainsi que des articles du chapitre 95 [p.ex.les protège-tibias ou les masques d'escrime])")</f>
        <v xml:space="preserve">   Vêtements, en cuir naturel ou reconstitué (à l'excl. des accessoires du vêtement, des chaussures ou des coiffures et leurs parties ainsi que des articles du chapitre 95 [p.ex.les protège-tibias ou les masques d'escrime])</v>
      </c>
      <c r="C50">
        <v>7190250</v>
      </c>
      <c r="D50">
        <v>1940.6</v>
      </c>
    </row>
    <row r="51" spans="1:4" x14ac:dyDescent="0.25">
      <c r="A51" t="str">
        <f>T("   490199")</f>
        <v xml:space="preserve">   490199</v>
      </c>
      <c r="B5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1">
        <v>500000</v>
      </c>
      <c r="D51">
        <v>500</v>
      </c>
    </row>
    <row r="52" spans="1:4" x14ac:dyDescent="0.25">
      <c r="A52" t="str">
        <f>T("   620590")</f>
        <v xml:space="preserve">   620590</v>
      </c>
      <c r="B5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2">
        <v>2500000</v>
      </c>
      <c r="D52">
        <v>3250</v>
      </c>
    </row>
    <row r="53" spans="1:4" x14ac:dyDescent="0.25">
      <c r="A53" t="str">
        <f>T("   621050")</f>
        <v xml:space="preserve">   621050</v>
      </c>
      <c r="B53" t="s">
        <v>62</v>
      </c>
      <c r="C53">
        <v>2000000</v>
      </c>
      <c r="D53">
        <v>2290</v>
      </c>
    </row>
    <row r="54" spans="1:4" x14ac:dyDescent="0.25">
      <c r="A54" t="str">
        <f>T("   700529")</f>
        <v xml:space="preserve">   700529</v>
      </c>
      <c r="B54" t="s">
        <v>72</v>
      </c>
      <c r="C54">
        <v>3610112</v>
      </c>
      <c r="D54">
        <v>1264</v>
      </c>
    </row>
    <row r="55" spans="1:4" x14ac:dyDescent="0.25">
      <c r="A55" t="str">
        <f>T("   720429")</f>
        <v xml:space="preserve">   720429</v>
      </c>
      <c r="B55"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55">
        <v>350000</v>
      </c>
      <c r="D55">
        <v>860</v>
      </c>
    </row>
    <row r="56" spans="1:4" x14ac:dyDescent="0.25">
      <c r="A56" t="str">
        <f>T("   732394")</f>
        <v xml:space="preserve">   732394</v>
      </c>
      <c r="B56" t="s">
        <v>82</v>
      </c>
      <c r="C56">
        <v>1850000</v>
      </c>
      <c r="D56">
        <v>3050</v>
      </c>
    </row>
    <row r="57" spans="1:4" x14ac:dyDescent="0.25">
      <c r="A57" t="str">
        <f>T("   840999")</f>
        <v xml:space="preserve">   840999</v>
      </c>
      <c r="B57"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57">
        <v>1897088</v>
      </c>
      <c r="D57">
        <v>3917</v>
      </c>
    </row>
    <row r="58" spans="1:4" x14ac:dyDescent="0.25">
      <c r="A58" t="str">
        <f>T("   843149")</f>
        <v xml:space="preserve">   843149</v>
      </c>
      <c r="B58" t="str">
        <f>T("   Parties de machines et appareils du n° 8426, 8429 ou 8430, n.d.a.")</f>
        <v xml:space="preserve">   Parties de machines et appareils du n° 8426, 8429 ou 8430, n.d.a.</v>
      </c>
      <c r="C58">
        <v>41976355</v>
      </c>
      <c r="D58">
        <v>26840</v>
      </c>
    </row>
    <row r="59" spans="1:4" x14ac:dyDescent="0.25">
      <c r="A59" t="str">
        <f>T("   848390")</f>
        <v xml:space="preserve">   848390</v>
      </c>
      <c r="B59"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59">
        <v>3176845</v>
      </c>
      <c r="D59">
        <v>4214</v>
      </c>
    </row>
    <row r="60" spans="1:4" x14ac:dyDescent="0.25">
      <c r="A60" t="str">
        <f>T("   870322")</f>
        <v xml:space="preserve">   870322</v>
      </c>
      <c r="B60" t="s">
        <v>103</v>
      </c>
      <c r="C60">
        <v>1200000</v>
      </c>
      <c r="D60">
        <v>850</v>
      </c>
    </row>
    <row r="61" spans="1:4" x14ac:dyDescent="0.25">
      <c r="A61" t="str">
        <f>T("   870323")</f>
        <v xml:space="preserve">   870323</v>
      </c>
      <c r="B61" t="s">
        <v>104</v>
      </c>
      <c r="C61">
        <v>6282640</v>
      </c>
      <c r="D61">
        <v>1820</v>
      </c>
    </row>
    <row r="62" spans="1:4" x14ac:dyDescent="0.25">
      <c r="A62" t="str">
        <f>T("   870331")</f>
        <v xml:space="preserve">   870331</v>
      </c>
      <c r="B62" t="s">
        <v>106</v>
      </c>
      <c r="C62">
        <v>5768186</v>
      </c>
      <c r="D62">
        <v>1320</v>
      </c>
    </row>
    <row r="63" spans="1:4" x14ac:dyDescent="0.25">
      <c r="A63" t="str">
        <f>T("   940350")</f>
        <v xml:space="preserve">   940350</v>
      </c>
      <c r="B63" t="str">
        <f>T("   Meubles pour chambres à coucher, en bois (sauf sièges)")</f>
        <v xml:space="preserve">   Meubles pour chambres à coucher, en bois (sauf sièges)</v>
      </c>
      <c r="C63">
        <v>11329256</v>
      </c>
      <c r="D63">
        <v>11757</v>
      </c>
    </row>
    <row r="64" spans="1:4" x14ac:dyDescent="0.25">
      <c r="A64" t="str">
        <f>T("   940380")</f>
        <v xml:space="preserve">   940380</v>
      </c>
      <c r="B64" t="str">
        <f>T("   Meubles en rotin, osier, bambou ou autres matières (sauf métal, bois et matières plastiques)")</f>
        <v xml:space="preserve">   Meubles en rotin, osier, bambou ou autres matières (sauf métal, bois et matières plastiques)</v>
      </c>
      <c r="C64">
        <v>5200000</v>
      </c>
      <c r="D64">
        <v>14600</v>
      </c>
    </row>
    <row r="65" spans="1:4" x14ac:dyDescent="0.25">
      <c r="A65" t="str">
        <f>T("BF")</f>
        <v>BF</v>
      </c>
      <c r="B65" t="str">
        <f>T("Burkina Faso")</f>
        <v>Burkina Faso</v>
      </c>
    </row>
    <row r="66" spans="1:4" x14ac:dyDescent="0.25">
      <c r="A66" t="str">
        <f>T("   ZZ_Total_Produit_SH6")</f>
        <v xml:space="preserve">   ZZ_Total_Produit_SH6</v>
      </c>
      <c r="B66" t="str">
        <f>T("   ZZ_Total_Produit_SH6")</f>
        <v xml:space="preserve">   ZZ_Total_Produit_SH6</v>
      </c>
      <c r="C66">
        <v>1204158494</v>
      </c>
      <c r="D66">
        <v>1987486</v>
      </c>
    </row>
    <row r="67" spans="1:4" x14ac:dyDescent="0.25">
      <c r="A67" t="str">
        <f>T("   110311")</f>
        <v xml:space="preserve">   110311</v>
      </c>
      <c r="B67" t="str">
        <f>T("   Gruaux et semoules de froment [blé]")</f>
        <v xml:space="preserve">   Gruaux et semoules de froment [blé]</v>
      </c>
      <c r="C67">
        <v>48291192</v>
      </c>
      <c r="D67">
        <v>141800</v>
      </c>
    </row>
    <row r="68" spans="1:4" x14ac:dyDescent="0.25">
      <c r="A68" t="str">
        <f>T("   190230")</f>
        <v xml:space="preserve">   190230</v>
      </c>
      <c r="B68" t="str">
        <f>T("   Pâtes alimentaires, cuites ou autrement préparées (à l'excl. des pâtes alimentaires farcies)")</f>
        <v xml:space="preserve">   Pâtes alimentaires, cuites ou autrement préparées (à l'excl. des pâtes alimentaires farcies)</v>
      </c>
      <c r="C68">
        <v>46200000</v>
      </c>
      <c r="D68">
        <v>120000</v>
      </c>
    </row>
    <row r="69" spans="1:4" x14ac:dyDescent="0.25">
      <c r="A69" t="str">
        <f>T("   190590")</f>
        <v xml:space="preserve">   190590</v>
      </c>
      <c r="B69" t="s">
        <v>23</v>
      </c>
      <c r="C69">
        <v>20000000</v>
      </c>
      <c r="D69">
        <v>40000</v>
      </c>
    </row>
    <row r="70" spans="1:4" x14ac:dyDescent="0.25">
      <c r="A70" t="str">
        <f>T("   200941")</f>
        <v xml:space="preserve">   200941</v>
      </c>
      <c r="B70"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70">
        <v>15655900</v>
      </c>
      <c r="D70">
        <v>58500</v>
      </c>
    </row>
    <row r="71" spans="1:4" x14ac:dyDescent="0.25">
      <c r="A71" t="str">
        <f>T("   200949")</f>
        <v xml:space="preserve">   200949</v>
      </c>
      <c r="B71"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1">
        <v>15955000</v>
      </c>
      <c r="D71">
        <v>171200</v>
      </c>
    </row>
    <row r="72" spans="1:4" x14ac:dyDescent="0.25">
      <c r="A72" t="str">
        <f>T("   220290")</f>
        <v xml:space="preserve">   220290</v>
      </c>
      <c r="B72" t="str">
        <f>T("   BOISSONS NON-ALCOOLIQUES (À L'EXCL. DES EAUX, DES JUS DE FRUITS OU DE LÉGUMES AINSI QUE DU LAIT)")</f>
        <v xml:space="preserve">   BOISSONS NON-ALCOOLIQUES (À L'EXCL. DES EAUX, DES JUS DE FRUITS OU DE LÉGUMES AINSI QUE DU LAIT)</v>
      </c>
      <c r="C72">
        <v>9450000</v>
      </c>
      <c r="D72">
        <v>20000</v>
      </c>
    </row>
    <row r="73" spans="1:4" x14ac:dyDescent="0.25">
      <c r="A73" t="str">
        <f>T("   230990")</f>
        <v xml:space="preserve">   230990</v>
      </c>
      <c r="B73"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73">
        <v>13000000</v>
      </c>
      <c r="D73">
        <v>200000</v>
      </c>
    </row>
    <row r="74" spans="1:4" x14ac:dyDescent="0.25">
      <c r="A74" t="str">
        <f>T("   320890")</f>
        <v xml:space="preserve">   320890</v>
      </c>
      <c r="B74" t="s">
        <v>37</v>
      </c>
      <c r="C74">
        <v>8138265</v>
      </c>
      <c r="D74">
        <v>2520</v>
      </c>
    </row>
    <row r="75" spans="1:4" x14ac:dyDescent="0.25">
      <c r="A75" t="str">
        <f>T("   392020")</f>
        <v xml:space="preserve">   392020</v>
      </c>
      <c r="B75" t="s">
        <v>41</v>
      </c>
      <c r="C75">
        <v>3275218</v>
      </c>
      <c r="D75">
        <v>1600</v>
      </c>
    </row>
    <row r="76" spans="1:4" x14ac:dyDescent="0.25">
      <c r="A76" t="str">
        <f>T("   481910")</f>
        <v xml:space="preserve">   481910</v>
      </c>
      <c r="B76" t="str">
        <f>T("   Boîtes et caisses en papier ou en carton ondulé")</f>
        <v xml:space="preserve">   Boîtes et caisses en papier ou en carton ondulé</v>
      </c>
      <c r="C76">
        <v>3515199</v>
      </c>
      <c r="D76">
        <v>4488</v>
      </c>
    </row>
    <row r="77" spans="1:4" x14ac:dyDescent="0.25">
      <c r="A77" t="str">
        <f>T("   481920")</f>
        <v xml:space="preserve">   481920</v>
      </c>
      <c r="B77" t="str">
        <f>T("   Boîtes et cartonnages, pliants, en papier ou en carton non ondulé")</f>
        <v xml:space="preserve">   Boîtes et cartonnages, pliants, en papier ou en carton non ondulé</v>
      </c>
      <c r="C77">
        <v>121405</v>
      </c>
      <c r="D77">
        <v>150</v>
      </c>
    </row>
    <row r="78" spans="1:4" x14ac:dyDescent="0.25">
      <c r="A78" t="str">
        <f>T("   481960")</f>
        <v xml:space="preserve">   481960</v>
      </c>
      <c r="B78" t="str">
        <f>T("   Cartonnages de bureau, de magasin ou simil., rigides (à l'excl. des emballages)")</f>
        <v xml:space="preserve">   Cartonnages de bureau, de magasin ou simil., rigides (à l'excl. des emballages)</v>
      </c>
      <c r="C78">
        <v>3224568</v>
      </c>
      <c r="D78">
        <v>3812</v>
      </c>
    </row>
    <row r="79" spans="1:4" x14ac:dyDescent="0.25">
      <c r="A79" t="str">
        <f>T("   490199")</f>
        <v xml:space="preserve">   490199</v>
      </c>
      <c r="B7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9">
        <v>142950000</v>
      </c>
      <c r="D79">
        <v>102065</v>
      </c>
    </row>
    <row r="80" spans="1:4" x14ac:dyDescent="0.25">
      <c r="A80" t="str">
        <f>T("   490700")</f>
        <v xml:space="preserve">   490700</v>
      </c>
      <c r="B80" t="s">
        <v>54</v>
      </c>
      <c r="C80">
        <v>17600000</v>
      </c>
      <c r="D80">
        <v>8122</v>
      </c>
    </row>
    <row r="81" spans="1:4" x14ac:dyDescent="0.25">
      <c r="A81" t="str">
        <f>T("   620590")</f>
        <v xml:space="preserve">   620590</v>
      </c>
      <c r="B8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1">
        <v>1550000</v>
      </c>
      <c r="D81">
        <v>1600</v>
      </c>
    </row>
    <row r="82" spans="1:4" x14ac:dyDescent="0.25">
      <c r="A82" t="str">
        <f>T("   681019")</f>
        <v xml:space="preserve">   681019</v>
      </c>
      <c r="B82"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82">
        <v>11088000</v>
      </c>
      <c r="D82">
        <v>39656</v>
      </c>
    </row>
    <row r="83" spans="1:4" x14ac:dyDescent="0.25">
      <c r="A83" t="str">
        <f>T("   720839")</f>
        <v xml:space="preserve">   720839</v>
      </c>
      <c r="B83"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83">
        <v>3303724</v>
      </c>
      <c r="D83">
        <v>7971</v>
      </c>
    </row>
    <row r="84" spans="1:4" x14ac:dyDescent="0.25">
      <c r="A84" t="str">
        <f>T("   720916")</f>
        <v xml:space="preserve">   720916</v>
      </c>
      <c r="B84"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84">
        <v>30743700</v>
      </c>
      <c r="D84">
        <v>67959</v>
      </c>
    </row>
    <row r="85" spans="1:4" x14ac:dyDescent="0.25">
      <c r="A85" t="str">
        <f>T("   720917")</f>
        <v xml:space="preserve">   720917</v>
      </c>
      <c r="B85"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85">
        <v>174251003</v>
      </c>
      <c r="D85">
        <v>396538</v>
      </c>
    </row>
    <row r="86" spans="1:4" x14ac:dyDescent="0.25">
      <c r="A86" t="str">
        <f>T("   720918")</f>
        <v xml:space="preserve">   720918</v>
      </c>
      <c r="B86" t="str">
        <f>T("   PRODUITS LAMINÉS PLATS, EN FER OU EN ACIERS NON-ALLIÉS, D'UNE LARGEUR &gt;= 600 MM, NON-PLAQUÉS NI REVÊTUS, ENROULÉS, SIMPL. LAMINÉS À FROID, D'UNE ÉPAISSEUR &lt; 0,5 MM")</f>
        <v xml:space="preserve">   PRODUITS LAMINÉS PLATS, EN FER OU EN ACIERS NON-ALLIÉS, D'UNE LARGEUR &gt;= 600 MM, NON-PLAQUÉS NI REVÊTUS, ENROULÉS, SIMPL. LAMINÉS À FROID, D'UNE ÉPAISSEUR &lt; 0,5 MM</v>
      </c>
      <c r="C86">
        <v>43075572</v>
      </c>
      <c r="D86">
        <v>76908</v>
      </c>
    </row>
    <row r="87" spans="1:4" x14ac:dyDescent="0.25">
      <c r="A87" t="str">
        <f>T("   721041")</f>
        <v xml:space="preserve">   721041</v>
      </c>
      <c r="B87"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87">
        <v>13920000</v>
      </c>
      <c r="D87">
        <v>30000</v>
      </c>
    </row>
    <row r="88" spans="1:4" x14ac:dyDescent="0.25">
      <c r="A88" t="str">
        <f>T("   721049")</f>
        <v xml:space="preserve">   721049</v>
      </c>
      <c r="B8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8">
        <v>26125616</v>
      </c>
      <c r="D88">
        <v>52835</v>
      </c>
    </row>
    <row r="89" spans="1:4" x14ac:dyDescent="0.25">
      <c r="A89" t="str">
        <f>T("   721070")</f>
        <v xml:space="preserve">   721070</v>
      </c>
      <c r="B89" t="str">
        <f>T("   PRODUITS LAMINÉS PLATS, EN FER OU EN ACIERS NON-ALLIÉS, D'UNE LARGEUR &gt;= 600 MM, LAMINÉS À CHAUD OU À FROID, PEINTS, VERNIS OU REVÊTUS DE MATIÈRES PLASTIQUES")</f>
        <v xml:space="preserve">   PRODUITS LAMINÉS PLATS, EN FER OU EN ACIERS NON-ALLIÉS, D'UNE LARGEUR &gt;= 600 MM, LAMINÉS À CHAUD OU À FROID, PEINTS, VERNIS OU REVÊTUS DE MATIÈRES PLASTIQUES</v>
      </c>
      <c r="C89">
        <v>17826750</v>
      </c>
      <c r="D89">
        <v>26410</v>
      </c>
    </row>
    <row r="90" spans="1:4" x14ac:dyDescent="0.25">
      <c r="A90" t="str">
        <f>T("   731021")</f>
        <v xml:space="preserve">   731021</v>
      </c>
      <c r="B90"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90">
        <v>13699643</v>
      </c>
      <c r="D90">
        <v>29805</v>
      </c>
    </row>
    <row r="91" spans="1:4" x14ac:dyDescent="0.25">
      <c r="A91" t="str">
        <f>T("   732393")</f>
        <v xml:space="preserve">   732393</v>
      </c>
      <c r="B91" t="s">
        <v>81</v>
      </c>
      <c r="C91">
        <v>1008424</v>
      </c>
      <c r="D91">
        <v>1571</v>
      </c>
    </row>
    <row r="92" spans="1:4" x14ac:dyDescent="0.25">
      <c r="A92" t="str">
        <f>T("   732394")</f>
        <v xml:space="preserve">   732394</v>
      </c>
      <c r="B92" t="s">
        <v>82</v>
      </c>
      <c r="C92">
        <v>1100000</v>
      </c>
      <c r="D92">
        <v>1400</v>
      </c>
    </row>
    <row r="93" spans="1:4" x14ac:dyDescent="0.25">
      <c r="A93" t="str">
        <f>T("   761519")</f>
        <v xml:space="preserve">   761519</v>
      </c>
      <c r="B93" t="s">
        <v>88</v>
      </c>
      <c r="C93">
        <v>291313</v>
      </c>
      <c r="D93">
        <v>100</v>
      </c>
    </row>
    <row r="94" spans="1:4" x14ac:dyDescent="0.25">
      <c r="A94" t="str">
        <f>T("   821599")</f>
        <v xml:space="preserve">   821599</v>
      </c>
      <c r="B94" t="s">
        <v>89</v>
      </c>
      <c r="C94">
        <v>182300000</v>
      </c>
      <c r="D94">
        <v>53550</v>
      </c>
    </row>
    <row r="95" spans="1:4" x14ac:dyDescent="0.25">
      <c r="A95" t="str">
        <f>T("   841381")</f>
        <v xml:space="preserve">   841381</v>
      </c>
      <c r="B95" t="s">
        <v>93</v>
      </c>
      <c r="C95">
        <v>9176880</v>
      </c>
      <c r="D95">
        <v>1923</v>
      </c>
    </row>
    <row r="96" spans="1:4" x14ac:dyDescent="0.25">
      <c r="A96" t="str">
        <f>T("   842630")</f>
        <v xml:space="preserve">   842630</v>
      </c>
      <c r="B96" t="str">
        <f>T("   Grues sur portiques")</f>
        <v xml:space="preserve">   Grues sur portiques</v>
      </c>
      <c r="C96">
        <v>66260650</v>
      </c>
      <c r="D96">
        <v>41250</v>
      </c>
    </row>
    <row r="97" spans="1:4" x14ac:dyDescent="0.25">
      <c r="A97" t="str">
        <f>T("   842920")</f>
        <v xml:space="preserve">   842920</v>
      </c>
      <c r="B97" t="str">
        <f>T("   Niveleuses autopropulsées")</f>
        <v xml:space="preserve">   Niveleuses autopropulsées</v>
      </c>
      <c r="C97">
        <v>12600000</v>
      </c>
      <c r="D97">
        <v>9920</v>
      </c>
    </row>
    <row r="98" spans="1:4" x14ac:dyDescent="0.25">
      <c r="A98" t="str">
        <f>T("   842940")</f>
        <v xml:space="preserve">   842940</v>
      </c>
      <c r="B98" t="str">
        <f>T("   Rouleaux compresseurs et autres compacteuses, autopropulsés")</f>
        <v xml:space="preserve">   Rouleaux compresseurs et autres compacteuses, autopropulsés</v>
      </c>
      <c r="C98">
        <v>9000000</v>
      </c>
      <c r="D98">
        <v>17000</v>
      </c>
    </row>
    <row r="99" spans="1:4" x14ac:dyDescent="0.25">
      <c r="A99" t="str">
        <f>T("   842959")</f>
        <v xml:space="preserve">   842959</v>
      </c>
      <c r="B99"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9">
        <v>53563520</v>
      </c>
      <c r="D99">
        <v>69433</v>
      </c>
    </row>
    <row r="100" spans="1:4" x14ac:dyDescent="0.25">
      <c r="A100" t="str">
        <f>T("   847290")</f>
        <v xml:space="preserve">   847290</v>
      </c>
      <c r="B100" t="str">
        <f>T("   Machines et appareils de bureau, n.d.a.")</f>
        <v xml:space="preserve">   Machines et appareils de bureau, n.d.a.</v>
      </c>
      <c r="C100">
        <v>1500000</v>
      </c>
      <c r="D100">
        <v>190</v>
      </c>
    </row>
    <row r="101" spans="1:4" x14ac:dyDescent="0.25">
      <c r="A101" t="str">
        <f>T("   870120")</f>
        <v xml:space="preserve">   870120</v>
      </c>
      <c r="B101" t="str">
        <f>T("   Tracteurs routiers pour semi-remorques")</f>
        <v xml:space="preserve">   Tracteurs routiers pour semi-remorques</v>
      </c>
      <c r="C101">
        <v>159152</v>
      </c>
      <c r="D101">
        <v>12149</v>
      </c>
    </row>
    <row r="102" spans="1:4" x14ac:dyDescent="0.25">
      <c r="A102" t="str">
        <f>T("   870322")</f>
        <v xml:space="preserve">   870322</v>
      </c>
      <c r="B102" t="s">
        <v>103</v>
      </c>
      <c r="C102">
        <v>5487940</v>
      </c>
      <c r="D102">
        <v>2579</v>
      </c>
    </row>
    <row r="103" spans="1:4" x14ac:dyDescent="0.25">
      <c r="A103" t="str">
        <f>T("   870422")</f>
        <v xml:space="preserve">   870422</v>
      </c>
      <c r="B103" t="s">
        <v>109</v>
      </c>
      <c r="C103">
        <v>1775834</v>
      </c>
      <c r="D103">
        <v>10657</v>
      </c>
    </row>
    <row r="104" spans="1:4" x14ac:dyDescent="0.25">
      <c r="A104" t="str">
        <f>T("   870423")</f>
        <v xml:space="preserve">   870423</v>
      </c>
      <c r="B104" t="s">
        <v>110</v>
      </c>
      <c r="C104">
        <v>57951600</v>
      </c>
      <c r="D104">
        <v>96000</v>
      </c>
    </row>
    <row r="105" spans="1:4" x14ac:dyDescent="0.25">
      <c r="A105" t="str">
        <f>T("   870540")</f>
        <v xml:space="preserve">   870540</v>
      </c>
      <c r="B105" t="str">
        <f>T("   Camions-bétonnières")</f>
        <v xml:space="preserve">   Camions-bétonnières</v>
      </c>
      <c r="C105">
        <v>97546501</v>
      </c>
      <c r="D105">
        <v>29600</v>
      </c>
    </row>
    <row r="106" spans="1:4" x14ac:dyDescent="0.25">
      <c r="A106" t="str">
        <f>T("   871640")</f>
        <v xml:space="preserve">   871640</v>
      </c>
      <c r="B106"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06">
        <v>315492</v>
      </c>
      <c r="D106">
        <v>12500</v>
      </c>
    </row>
    <row r="107" spans="1:4" x14ac:dyDescent="0.25">
      <c r="A107" t="str">
        <f>T("   940350")</f>
        <v xml:space="preserve">   940350</v>
      </c>
      <c r="B107" t="str">
        <f>T("   Meubles pour chambres à coucher, en bois (sauf sièges)")</f>
        <v xml:space="preserve">   Meubles pour chambres à coucher, en bois (sauf sièges)</v>
      </c>
      <c r="C107">
        <v>3900000</v>
      </c>
      <c r="D107">
        <v>4750</v>
      </c>
    </row>
    <row r="108" spans="1:4" x14ac:dyDescent="0.25">
      <c r="A108" t="str">
        <f>T("   940360")</f>
        <v xml:space="preserve">   940360</v>
      </c>
      <c r="B108" t="str">
        <f>T("   Meubles en bois (autres que pour bureaux, cuisines ou chambres à coucher et autres que sièges)")</f>
        <v xml:space="preserve">   Meubles en bois (autres que pour bureaux, cuisines ou chambres à coucher et autres que sièges)</v>
      </c>
      <c r="C108">
        <v>6500000</v>
      </c>
      <c r="D108">
        <v>2000</v>
      </c>
    </row>
    <row r="109" spans="1:4" x14ac:dyDescent="0.25">
      <c r="A109" t="str">
        <f>T("   940380")</f>
        <v xml:space="preserve">   940380</v>
      </c>
      <c r="B109" t="str">
        <f>T("   Meubles en rotin, osier, bambou ou autres matières (sauf métal, bois et matières plastiques)")</f>
        <v xml:space="preserve">   Meubles en rotin, osier, bambou ou autres matières (sauf métal, bois et matières plastiques)</v>
      </c>
      <c r="C109">
        <v>2000000</v>
      </c>
      <c r="D109">
        <v>13700</v>
      </c>
    </row>
    <row r="110" spans="1:4" x14ac:dyDescent="0.25">
      <c r="A110" t="str">
        <f>T("   940490")</f>
        <v xml:space="preserve">   940490</v>
      </c>
      <c r="B110" t="s">
        <v>118</v>
      </c>
      <c r="C110">
        <v>8760433</v>
      </c>
      <c r="D110">
        <v>3275</v>
      </c>
    </row>
    <row r="111" spans="1:4" x14ac:dyDescent="0.25">
      <c r="A111" t="str">
        <f>T("BR")</f>
        <v>BR</v>
      </c>
      <c r="B111" t="str">
        <f>T("Brésil")</f>
        <v>Brésil</v>
      </c>
    </row>
    <row r="112" spans="1:4" x14ac:dyDescent="0.25">
      <c r="A112" t="str">
        <f>T("   ZZ_Total_Produit_SH6")</f>
        <v xml:space="preserve">   ZZ_Total_Produit_SH6</v>
      </c>
      <c r="B112" t="str">
        <f>T("   ZZ_Total_Produit_SH6")</f>
        <v xml:space="preserve">   ZZ_Total_Produit_SH6</v>
      </c>
      <c r="C112">
        <v>632160000</v>
      </c>
      <c r="D112">
        <v>3493000</v>
      </c>
    </row>
    <row r="113" spans="1:4" x14ac:dyDescent="0.25">
      <c r="A113" t="str">
        <f>T("   080131")</f>
        <v xml:space="preserve">   080131</v>
      </c>
      <c r="B113" t="str">
        <f>T("   Noix de cajou, fraîches ou sèches, en coques")</f>
        <v xml:space="preserve">   Noix de cajou, fraîches ou sèches, en coques</v>
      </c>
      <c r="C113">
        <v>627660000</v>
      </c>
      <c r="D113">
        <v>3487000</v>
      </c>
    </row>
    <row r="114" spans="1:4" x14ac:dyDescent="0.25">
      <c r="A114" t="str">
        <f>T("   490199")</f>
        <v xml:space="preserve">   490199</v>
      </c>
      <c r="B11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4">
        <v>550000</v>
      </c>
      <c r="D114">
        <v>700</v>
      </c>
    </row>
    <row r="115" spans="1:4" x14ac:dyDescent="0.25">
      <c r="A115" t="str">
        <f>T("   620590")</f>
        <v xml:space="preserve">   620590</v>
      </c>
      <c r="B11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5">
        <v>1200000</v>
      </c>
      <c r="D115">
        <v>1500</v>
      </c>
    </row>
    <row r="116" spans="1:4" x14ac:dyDescent="0.25">
      <c r="A116" t="str">
        <f>T("   732394")</f>
        <v xml:space="preserve">   732394</v>
      </c>
      <c r="B116" t="s">
        <v>82</v>
      </c>
      <c r="C116">
        <v>450000</v>
      </c>
      <c r="D116">
        <v>800</v>
      </c>
    </row>
    <row r="117" spans="1:4" x14ac:dyDescent="0.25">
      <c r="A117" t="str">
        <f>T("   940350")</f>
        <v xml:space="preserve">   940350</v>
      </c>
      <c r="B117" t="str">
        <f>T("   Meubles pour chambres à coucher, en bois (sauf sièges)")</f>
        <v xml:space="preserve">   Meubles pour chambres à coucher, en bois (sauf sièges)</v>
      </c>
      <c r="C117">
        <v>2300000</v>
      </c>
      <c r="D117">
        <v>3000</v>
      </c>
    </row>
    <row r="118" spans="1:4" x14ac:dyDescent="0.25">
      <c r="A118" t="str">
        <f>T("CA")</f>
        <v>CA</v>
      </c>
      <c r="B118" t="str">
        <f>T("Canada")</f>
        <v>Canada</v>
      </c>
    </row>
    <row r="119" spans="1:4" x14ac:dyDescent="0.25">
      <c r="A119" t="str">
        <f>T("   ZZ_Total_Produit_SH6")</f>
        <v xml:space="preserve">   ZZ_Total_Produit_SH6</v>
      </c>
      <c r="B119" t="str">
        <f>T("   ZZ_Total_Produit_SH6")</f>
        <v xml:space="preserve">   ZZ_Total_Produit_SH6</v>
      </c>
      <c r="C119">
        <v>5800000</v>
      </c>
      <c r="D119">
        <v>5300</v>
      </c>
    </row>
    <row r="120" spans="1:4" x14ac:dyDescent="0.25">
      <c r="A120" t="str">
        <f>T("   732399")</f>
        <v xml:space="preserve">   732399</v>
      </c>
      <c r="B120" t="s">
        <v>83</v>
      </c>
      <c r="C120">
        <v>3800000</v>
      </c>
      <c r="D120">
        <v>3500</v>
      </c>
    </row>
    <row r="121" spans="1:4" x14ac:dyDescent="0.25">
      <c r="A121" t="str">
        <f>T("   940429")</f>
        <v xml:space="preserve">   940429</v>
      </c>
      <c r="B121"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21">
        <v>2000000</v>
      </c>
      <c r="D121">
        <v>1800</v>
      </c>
    </row>
    <row r="122" spans="1:4" x14ac:dyDescent="0.25">
      <c r="A122" t="str">
        <f>T("CD")</f>
        <v>CD</v>
      </c>
      <c r="B122" t="str">
        <f>T("Congo, République Démocratique")</f>
        <v>Congo, République Démocratique</v>
      </c>
    </row>
    <row r="123" spans="1:4" x14ac:dyDescent="0.25">
      <c r="A123" t="str">
        <f>T("   ZZ_Total_Produit_SH6")</f>
        <v xml:space="preserve">   ZZ_Total_Produit_SH6</v>
      </c>
      <c r="B123" t="str">
        <f>T("   ZZ_Total_Produit_SH6")</f>
        <v xml:space="preserve">   ZZ_Total_Produit_SH6</v>
      </c>
      <c r="C123">
        <v>180263229</v>
      </c>
      <c r="D123">
        <v>32628</v>
      </c>
    </row>
    <row r="124" spans="1:4" x14ac:dyDescent="0.25">
      <c r="A124" t="str">
        <f>T("   110620")</f>
        <v xml:space="preserve">   110620</v>
      </c>
      <c r="B124" t="str">
        <f>T("   Farines, semoules et poudres de sagou ou des racines ou tubercules du n° 0714")</f>
        <v xml:space="preserve">   Farines, semoules et poudres de sagou ou des racines ou tubercules du n° 0714</v>
      </c>
      <c r="C124">
        <v>472000</v>
      </c>
      <c r="D124">
        <v>1370</v>
      </c>
    </row>
    <row r="125" spans="1:4" x14ac:dyDescent="0.25">
      <c r="A125" t="str">
        <f>T("   120710")</f>
        <v xml:space="preserve">   120710</v>
      </c>
      <c r="B125" t="str">
        <f>T("   NOIX ET AMANDES DE PALMISTES")</f>
        <v xml:space="preserve">   NOIX ET AMANDES DE PALMISTES</v>
      </c>
      <c r="C125">
        <v>146560793</v>
      </c>
      <c r="D125">
        <v>1518</v>
      </c>
    </row>
    <row r="126" spans="1:4" x14ac:dyDescent="0.25">
      <c r="A126" t="str">
        <f>T("   340120")</f>
        <v xml:space="preserve">   340120</v>
      </c>
      <c r="B126" t="str">
        <f>T("   Savons en flocons, en paillettes, en granulés ou en poudres et savons liquides ou pâteux")</f>
        <v xml:space="preserve">   Savons en flocons, en paillettes, en granulés ou en poudres et savons liquides ou pâteux</v>
      </c>
      <c r="C126">
        <v>15000</v>
      </c>
      <c r="D126">
        <v>75</v>
      </c>
    </row>
    <row r="127" spans="1:4" x14ac:dyDescent="0.25">
      <c r="A127" t="str">
        <f>T("   490199")</f>
        <v xml:space="preserve">   490199</v>
      </c>
      <c r="B12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27">
        <v>200000</v>
      </c>
      <c r="D127">
        <v>200</v>
      </c>
    </row>
    <row r="128" spans="1:4" x14ac:dyDescent="0.25">
      <c r="A128" t="str">
        <f>T("   620590")</f>
        <v xml:space="preserve">   620590</v>
      </c>
      <c r="B12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28">
        <v>750000</v>
      </c>
      <c r="D128">
        <v>700</v>
      </c>
    </row>
    <row r="129" spans="1:4" x14ac:dyDescent="0.25">
      <c r="A129" t="str">
        <f>T("   630539")</f>
        <v xml:space="preserve">   630539</v>
      </c>
      <c r="B129"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29">
        <v>41000</v>
      </c>
      <c r="D129">
        <v>85</v>
      </c>
    </row>
    <row r="130" spans="1:4" x14ac:dyDescent="0.25">
      <c r="A130" t="str">
        <f>T("   732394")</f>
        <v xml:space="preserve">   732394</v>
      </c>
      <c r="B130" t="s">
        <v>82</v>
      </c>
      <c r="C130">
        <v>300000</v>
      </c>
      <c r="D130">
        <v>400</v>
      </c>
    </row>
    <row r="131" spans="1:4" x14ac:dyDescent="0.25">
      <c r="A131" t="str">
        <f>T("   842121")</f>
        <v xml:space="preserve">   842121</v>
      </c>
      <c r="B131" t="str">
        <f>T("   Appareils pour la filtration ou l'épuration des eaux")</f>
        <v xml:space="preserve">   Appareils pour la filtration ou l'épuration des eaux</v>
      </c>
      <c r="C131">
        <v>14000000</v>
      </c>
      <c r="D131">
        <v>6533</v>
      </c>
    </row>
    <row r="132" spans="1:4" x14ac:dyDescent="0.25">
      <c r="A132" t="str">
        <f>T("   842199")</f>
        <v xml:space="preserve">   842199</v>
      </c>
      <c r="B132" t="str">
        <f>T("   Parties d'appareils pour la filtration ou l'épuration des liquides ou des gaz, n.d.a.")</f>
        <v xml:space="preserve">   Parties d'appareils pour la filtration ou l'épuration des liquides ou des gaz, n.d.a.</v>
      </c>
      <c r="C132">
        <v>1000000</v>
      </c>
      <c r="D132">
        <v>467</v>
      </c>
    </row>
    <row r="133" spans="1:4" x14ac:dyDescent="0.25">
      <c r="A133" t="str">
        <f>T("   870323")</f>
        <v xml:space="preserve">   870323</v>
      </c>
      <c r="B133" t="s">
        <v>104</v>
      </c>
      <c r="C133">
        <v>6624436</v>
      </c>
      <c r="D133">
        <v>2880</v>
      </c>
    </row>
    <row r="134" spans="1:4" x14ac:dyDescent="0.25">
      <c r="A134" t="str">
        <f>T("   870421")</f>
        <v xml:space="preserve">   870421</v>
      </c>
      <c r="B134" t="s">
        <v>108</v>
      </c>
      <c r="C134">
        <v>1000000</v>
      </c>
      <c r="D134">
        <v>1870</v>
      </c>
    </row>
    <row r="135" spans="1:4" x14ac:dyDescent="0.25">
      <c r="A135" t="str">
        <f>T("   870431")</f>
        <v xml:space="preserve">   870431</v>
      </c>
      <c r="B135" t="s">
        <v>111</v>
      </c>
      <c r="C135">
        <v>2000000</v>
      </c>
      <c r="D135">
        <v>2180</v>
      </c>
    </row>
    <row r="136" spans="1:4" x14ac:dyDescent="0.25">
      <c r="A136" t="str">
        <f>T("   940210")</f>
        <v xml:space="preserve">   940210</v>
      </c>
      <c r="B136"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136">
        <v>550000</v>
      </c>
      <c r="D136">
        <v>150</v>
      </c>
    </row>
    <row r="137" spans="1:4" x14ac:dyDescent="0.25">
      <c r="A137" t="str">
        <f>T("   940350")</f>
        <v xml:space="preserve">   940350</v>
      </c>
      <c r="B137" t="str">
        <f>T("   Meubles pour chambres à coucher, en bois (sauf sièges)")</f>
        <v xml:space="preserve">   Meubles pour chambres à coucher, en bois (sauf sièges)</v>
      </c>
      <c r="C137">
        <v>1750000</v>
      </c>
      <c r="D137">
        <v>2200</v>
      </c>
    </row>
    <row r="138" spans="1:4" x14ac:dyDescent="0.25">
      <c r="A138" t="str">
        <f>T("   940380")</f>
        <v xml:space="preserve">   940380</v>
      </c>
      <c r="B138" t="str">
        <f>T("   Meubles en rotin, osier, bambou ou autres matières (sauf métal, bois et matières plastiques)")</f>
        <v xml:space="preserve">   Meubles en rotin, osier, bambou ou autres matières (sauf métal, bois et matières plastiques)</v>
      </c>
      <c r="C138">
        <v>5000000</v>
      </c>
      <c r="D138">
        <v>12000</v>
      </c>
    </row>
    <row r="139" spans="1:4" x14ac:dyDescent="0.25">
      <c r="A139" t="str">
        <f>T("CG")</f>
        <v>CG</v>
      </c>
      <c r="B139" t="str">
        <f>T("Congo (Brazzaville)")</f>
        <v>Congo (Brazzaville)</v>
      </c>
    </row>
    <row r="140" spans="1:4" x14ac:dyDescent="0.25">
      <c r="A140" t="str">
        <f>T("   ZZ_Total_Produit_SH6")</f>
        <v xml:space="preserve">   ZZ_Total_Produit_SH6</v>
      </c>
      <c r="B140" t="str">
        <f>T("   ZZ_Total_Produit_SH6")</f>
        <v xml:space="preserve">   ZZ_Total_Produit_SH6</v>
      </c>
      <c r="C140">
        <v>133696908</v>
      </c>
      <c r="D140">
        <v>364462</v>
      </c>
    </row>
    <row r="141" spans="1:4" x14ac:dyDescent="0.25">
      <c r="A141" t="str">
        <f>T("   060499")</f>
        <v xml:space="preserve">   060499</v>
      </c>
      <c r="B141"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141">
        <v>615000</v>
      </c>
      <c r="D141">
        <v>10000</v>
      </c>
    </row>
    <row r="142" spans="1:4" x14ac:dyDescent="0.25">
      <c r="A142" t="str">
        <f>T("   071410")</f>
        <v xml:space="preserve">   071410</v>
      </c>
      <c r="B142" t="str">
        <f>T("   Racines de manioc, fraîches, réfrigérées, congelées ou séchées, même débitées en morceaux ou agglomérées sous forme de pellets")</f>
        <v xml:space="preserve">   Racines de manioc, fraîches, réfrigérées, congelées ou séchées, même débitées en morceaux ou agglomérées sous forme de pellets</v>
      </c>
      <c r="C142">
        <v>1350000</v>
      </c>
      <c r="D142">
        <v>9000</v>
      </c>
    </row>
    <row r="143" spans="1:4" x14ac:dyDescent="0.25">
      <c r="A143" t="str">
        <f>T("   100630")</f>
        <v xml:space="preserve">   100630</v>
      </c>
      <c r="B143" t="str">
        <f>T("   Riz semi-blanchi ou blanchi, même poli ou glacé")</f>
        <v xml:space="preserve">   Riz semi-blanchi ou blanchi, même poli ou glacé</v>
      </c>
      <c r="C143">
        <v>63000000</v>
      </c>
      <c r="D143">
        <v>149975</v>
      </c>
    </row>
    <row r="144" spans="1:4" x14ac:dyDescent="0.25">
      <c r="A144" t="str">
        <f>T("   110620")</f>
        <v xml:space="preserve">   110620</v>
      </c>
      <c r="B144" t="str">
        <f>T("   Farines, semoules et poudres de sagou ou des racines ou tubercules du n° 0714")</f>
        <v xml:space="preserve">   Farines, semoules et poudres de sagou ou des racines ou tubercules du n° 0714</v>
      </c>
      <c r="C144">
        <v>1590000</v>
      </c>
      <c r="D144">
        <v>30000</v>
      </c>
    </row>
    <row r="145" spans="1:4" x14ac:dyDescent="0.25">
      <c r="A145" t="str">
        <f>T("   220890")</f>
        <v xml:space="preserve">   220890</v>
      </c>
      <c r="B145" t="s">
        <v>25</v>
      </c>
      <c r="C145">
        <v>2400000</v>
      </c>
      <c r="D145">
        <v>10000</v>
      </c>
    </row>
    <row r="146" spans="1:4" x14ac:dyDescent="0.25">
      <c r="A146" t="str">
        <f>T("   251690")</f>
        <v xml:space="preserve">   251690</v>
      </c>
      <c r="B146" t="s">
        <v>29</v>
      </c>
      <c r="C146">
        <v>900000</v>
      </c>
      <c r="D146">
        <v>4800</v>
      </c>
    </row>
    <row r="147" spans="1:4" x14ac:dyDescent="0.25">
      <c r="A147" t="str">
        <f>T("   340111")</f>
        <v xml:space="preserve">   340111</v>
      </c>
      <c r="B147" t="s">
        <v>39</v>
      </c>
      <c r="C147">
        <v>4902960</v>
      </c>
      <c r="D147">
        <v>12000</v>
      </c>
    </row>
    <row r="148" spans="1:4" x14ac:dyDescent="0.25">
      <c r="A148" t="str">
        <f>T("   392330")</f>
        <v xml:space="preserve">   392330</v>
      </c>
      <c r="B148" t="str">
        <f>T("   Bonbonnes, bouteilles, flacons et articles simil. pour le transport ou l'emballage, en matières plastiques")</f>
        <v xml:space="preserve">   Bonbonnes, bouteilles, flacons et articles simil. pour le transport ou l'emballage, en matières plastiques</v>
      </c>
      <c r="C148">
        <v>1308000</v>
      </c>
      <c r="D148">
        <v>90</v>
      </c>
    </row>
    <row r="149" spans="1:4" x14ac:dyDescent="0.25">
      <c r="A149" t="str">
        <f>T("   401220")</f>
        <v xml:space="preserve">   401220</v>
      </c>
      <c r="B149" t="str">
        <f>T("   Pneumatiques usagés, en caoutchouc")</f>
        <v xml:space="preserve">   Pneumatiques usagés, en caoutchouc</v>
      </c>
      <c r="C149">
        <v>4800000</v>
      </c>
      <c r="D149">
        <v>22000</v>
      </c>
    </row>
    <row r="150" spans="1:4" x14ac:dyDescent="0.25">
      <c r="A150" t="str">
        <f>T("   520852")</f>
        <v xml:space="preserve">   520852</v>
      </c>
      <c r="B150" t="str">
        <f>T("   Tissus de coton, imprimés, à armure toile, contenant &gt;= 85% en poids de coton, d'un poids &gt; 100 g/m² mais &lt;= 200 g/m²")</f>
        <v xml:space="preserve">   Tissus de coton, imprimés, à armure toile, contenant &gt;= 85% en poids de coton, d'un poids &gt; 100 g/m² mais &lt;= 200 g/m²</v>
      </c>
      <c r="C150">
        <v>15000000</v>
      </c>
      <c r="D150">
        <v>15000</v>
      </c>
    </row>
    <row r="151" spans="1:4" x14ac:dyDescent="0.25">
      <c r="A151" t="str">
        <f>T("   610690")</f>
        <v xml:space="preserve">   610690</v>
      </c>
      <c r="B151"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151">
        <v>2510000</v>
      </c>
      <c r="D151">
        <v>5000</v>
      </c>
    </row>
    <row r="152" spans="1:4" x14ac:dyDescent="0.25">
      <c r="A152" t="str">
        <f>T("   691200")</f>
        <v xml:space="preserve">   691200</v>
      </c>
      <c r="B152" t="s">
        <v>71</v>
      </c>
      <c r="C152">
        <v>1424000</v>
      </c>
      <c r="D152">
        <v>11000</v>
      </c>
    </row>
    <row r="153" spans="1:4" x14ac:dyDescent="0.25">
      <c r="A153" t="str">
        <f>T("   732399")</f>
        <v xml:space="preserve">   732399</v>
      </c>
      <c r="B153" t="s">
        <v>83</v>
      </c>
      <c r="C153">
        <v>1533600</v>
      </c>
      <c r="D153">
        <v>1700</v>
      </c>
    </row>
    <row r="154" spans="1:4" x14ac:dyDescent="0.25">
      <c r="A154" t="str">
        <f>T("   870322")</f>
        <v xml:space="preserve">   870322</v>
      </c>
      <c r="B154" t="s">
        <v>103</v>
      </c>
      <c r="C154">
        <v>5100000</v>
      </c>
      <c r="D154">
        <v>7936</v>
      </c>
    </row>
    <row r="155" spans="1:4" x14ac:dyDescent="0.25">
      <c r="A155" t="str">
        <f>T("   870323")</f>
        <v xml:space="preserve">   870323</v>
      </c>
      <c r="B155" t="s">
        <v>104</v>
      </c>
      <c r="C155">
        <v>9962276</v>
      </c>
      <c r="D155">
        <v>1814</v>
      </c>
    </row>
    <row r="156" spans="1:4" x14ac:dyDescent="0.25">
      <c r="A156" t="str">
        <f>T("   870423")</f>
        <v xml:space="preserve">   870423</v>
      </c>
      <c r="B156" t="s">
        <v>110</v>
      </c>
      <c r="C156">
        <v>9672524</v>
      </c>
      <c r="D156">
        <v>72167</v>
      </c>
    </row>
    <row r="157" spans="1:4" x14ac:dyDescent="0.25">
      <c r="A157" t="str">
        <f>T("   870431")</f>
        <v xml:space="preserve">   870431</v>
      </c>
      <c r="B157" t="s">
        <v>111</v>
      </c>
      <c r="C157">
        <v>7128548</v>
      </c>
      <c r="D157">
        <v>1780</v>
      </c>
    </row>
    <row r="158" spans="1:4" x14ac:dyDescent="0.25">
      <c r="A158" t="str">
        <f>T("   940350")</f>
        <v xml:space="preserve">   940350</v>
      </c>
      <c r="B158" t="str">
        <f>T("   Meubles pour chambres à coucher, en bois (sauf sièges)")</f>
        <v xml:space="preserve">   Meubles pour chambres à coucher, en bois (sauf sièges)</v>
      </c>
      <c r="C158">
        <v>500000</v>
      </c>
      <c r="D158">
        <v>200</v>
      </c>
    </row>
    <row r="159" spans="1:4" x14ac:dyDescent="0.25">
      <c r="A159" t="str">
        <f>T("CH")</f>
        <v>CH</v>
      </c>
      <c r="B159" t="str">
        <f>T("Suisse")</f>
        <v>Suisse</v>
      </c>
    </row>
    <row r="160" spans="1:4" x14ac:dyDescent="0.25">
      <c r="A160" t="str">
        <f>T("   ZZ_Total_Produit_SH6")</f>
        <v xml:space="preserve">   ZZ_Total_Produit_SH6</v>
      </c>
      <c r="B160" t="str">
        <f>T("   ZZ_Total_Produit_SH6")</f>
        <v xml:space="preserve">   ZZ_Total_Produit_SH6</v>
      </c>
      <c r="C160">
        <v>303201036</v>
      </c>
      <c r="D160">
        <v>1796270</v>
      </c>
    </row>
    <row r="161" spans="1:4" x14ac:dyDescent="0.25">
      <c r="A161" t="str">
        <f>T("   060390")</f>
        <v xml:space="preserve">   060390</v>
      </c>
      <c r="B161" t="str">
        <f>T("   Fleurs et boutons de fleurs, coupés, pour bouquets ou pour ornements, séchés, blanchis, teints, imprégnés ou autrement préparés")</f>
        <v xml:space="preserve">   Fleurs et boutons de fleurs, coupés, pour bouquets ou pour ornements, séchés, blanchis, teints, imprégnés ou autrement préparés</v>
      </c>
      <c r="C161">
        <v>161500</v>
      </c>
      <c r="D161">
        <v>311</v>
      </c>
    </row>
    <row r="162" spans="1:4" x14ac:dyDescent="0.25">
      <c r="A162" t="str">
        <f>T("   180400")</f>
        <v xml:space="preserve">   180400</v>
      </c>
      <c r="B162" t="str">
        <f>T("   Beurre, graisse et huile de cacao")</f>
        <v xml:space="preserve">   Beurre, graisse et huile de cacao</v>
      </c>
      <c r="C162">
        <v>339560</v>
      </c>
      <c r="D162">
        <v>720</v>
      </c>
    </row>
    <row r="163" spans="1:4" x14ac:dyDescent="0.25">
      <c r="A163" t="str">
        <f>T("   392329")</f>
        <v xml:space="preserve">   392329</v>
      </c>
      <c r="B163" t="str">
        <f>T("   Sacs, sachets, pochettes et cornets, en matières plastiques (autres que les polymères de l'éthylène)")</f>
        <v xml:space="preserve">   Sacs, sachets, pochettes et cornets, en matières plastiques (autres que les polymères de l'éthylène)</v>
      </c>
      <c r="C163">
        <v>14907613</v>
      </c>
      <c r="D163">
        <v>10133</v>
      </c>
    </row>
    <row r="164" spans="1:4" x14ac:dyDescent="0.25">
      <c r="A164" t="str">
        <f>T("   440399")</f>
        <v xml:space="preserve">   440399</v>
      </c>
      <c r="B164" t="s">
        <v>47</v>
      </c>
      <c r="C164">
        <v>60220000</v>
      </c>
      <c r="D164">
        <v>1204400</v>
      </c>
    </row>
    <row r="165" spans="1:4" x14ac:dyDescent="0.25">
      <c r="A165" t="str">
        <f>T("   440500")</f>
        <v xml:space="preserve">   440500</v>
      </c>
      <c r="B165"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165">
        <v>500000</v>
      </c>
      <c r="D165">
        <v>10000</v>
      </c>
    </row>
    <row r="166" spans="1:4" x14ac:dyDescent="0.25">
      <c r="A166" t="str">
        <f>T("   460210")</f>
        <v xml:space="preserve">   460210</v>
      </c>
      <c r="B166" t="s">
        <v>52</v>
      </c>
      <c r="C166">
        <v>85900000</v>
      </c>
      <c r="D166">
        <v>354500</v>
      </c>
    </row>
    <row r="167" spans="1:4" x14ac:dyDescent="0.25">
      <c r="A167" t="str">
        <f>T("   620590")</f>
        <v xml:space="preserve">   620590</v>
      </c>
      <c r="B16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67">
        <v>550000</v>
      </c>
      <c r="D167">
        <v>800</v>
      </c>
    </row>
    <row r="168" spans="1:4" x14ac:dyDescent="0.25">
      <c r="A168" t="str">
        <f>T("   720430")</f>
        <v xml:space="preserve">   720430</v>
      </c>
      <c r="B168"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68">
        <v>5000000</v>
      </c>
      <c r="D168">
        <v>100000</v>
      </c>
    </row>
    <row r="169" spans="1:4" x14ac:dyDescent="0.25">
      <c r="A169" t="str">
        <f>T("   721420")</f>
        <v xml:space="preserve">   721420</v>
      </c>
      <c r="B169"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69">
        <v>37974811</v>
      </c>
      <c r="D169">
        <v>53504</v>
      </c>
    </row>
    <row r="170" spans="1:4" x14ac:dyDescent="0.25">
      <c r="A170" t="str">
        <f>T("   732394")</f>
        <v xml:space="preserve">   732394</v>
      </c>
      <c r="B170" t="s">
        <v>82</v>
      </c>
      <c r="C170">
        <v>400000</v>
      </c>
      <c r="D170">
        <v>700</v>
      </c>
    </row>
    <row r="171" spans="1:4" x14ac:dyDescent="0.25">
      <c r="A171" t="str">
        <f>T("   732690")</f>
        <v xml:space="preserve">   732690</v>
      </c>
      <c r="B171"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71">
        <v>15115758</v>
      </c>
      <c r="D171">
        <v>18509</v>
      </c>
    </row>
    <row r="172" spans="1:4" x14ac:dyDescent="0.25">
      <c r="A172" t="str">
        <f>T("   847110")</f>
        <v xml:space="preserve">   847110</v>
      </c>
      <c r="B172" t="str">
        <f>T("   Machines automatiques de traitement de l'information, analogiques ou hybrides")</f>
        <v xml:space="preserve">   Machines automatiques de traitement de l'information, analogiques ou hybrides</v>
      </c>
      <c r="C172">
        <v>6403482</v>
      </c>
      <c r="D172">
        <v>80</v>
      </c>
    </row>
    <row r="173" spans="1:4" x14ac:dyDescent="0.25">
      <c r="A173" t="str">
        <f>T("   871120")</f>
        <v xml:space="preserve">   871120</v>
      </c>
      <c r="B173" t="str">
        <f>T("   Motocycles à moteur à piston alternatif, cylindrée &gt; 50 cm³ mais &lt;= 250 cm³")</f>
        <v xml:space="preserve">   Motocycles à moteur à piston alternatif, cylindrée &gt; 50 cm³ mais &lt;= 250 cm³</v>
      </c>
      <c r="C173">
        <v>72720271</v>
      </c>
      <c r="D173">
        <v>40000</v>
      </c>
    </row>
    <row r="174" spans="1:4" x14ac:dyDescent="0.25">
      <c r="A174" t="str">
        <f>T("   940350")</f>
        <v xml:space="preserve">   940350</v>
      </c>
      <c r="B174" t="str">
        <f>T("   Meubles pour chambres à coucher, en bois (sauf sièges)")</f>
        <v xml:space="preserve">   Meubles pour chambres à coucher, en bois (sauf sièges)</v>
      </c>
      <c r="C174">
        <v>1050000</v>
      </c>
      <c r="D174">
        <v>2500</v>
      </c>
    </row>
    <row r="175" spans="1:4" x14ac:dyDescent="0.25">
      <c r="A175" t="str">
        <f>T("   970300")</f>
        <v xml:space="preserve">   970300</v>
      </c>
      <c r="B175" t="str">
        <f>T("   Productions originales de l'art statuaire ou de la sculpture, en toutes matières")</f>
        <v xml:space="preserve">   Productions originales de l'art statuaire ou de la sculpture, en toutes matières</v>
      </c>
      <c r="C175">
        <v>1958041</v>
      </c>
      <c r="D175">
        <v>113</v>
      </c>
    </row>
    <row r="176" spans="1:4" x14ac:dyDescent="0.25">
      <c r="A176" t="str">
        <f>T("CI")</f>
        <v>CI</v>
      </c>
      <c r="B176" t="str">
        <f>T("Côte d'Ivoire")</f>
        <v>Côte d'Ivoire</v>
      </c>
    </row>
    <row r="177" spans="1:4" x14ac:dyDescent="0.25">
      <c r="A177" t="str">
        <f>T("   ZZ_Total_Produit_SH6")</f>
        <v xml:space="preserve">   ZZ_Total_Produit_SH6</v>
      </c>
      <c r="B177" t="str">
        <f>T("   ZZ_Total_Produit_SH6")</f>
        <v xml:space="preserve">   ZZ_Total_Produit_SH6</v>
      </c>
      <c r="C177">
        <v>6649522046</v>
      </c>
      <c r="D177">
        <v>8926485.8200000003</v>
      </c>
    </row>
    <row r="178" spans="1:4" x14ac:dyDescent="0.25">
      <c r="A178" t="str">
        <f>T("   210690")</f>
        <v xml:space="preserve">   210690</v>
      </c>
      <c r="B178" t="str">
        <f>T("   Préparations alimentaires, n.d.a.")</f>
        <v xml:space="preserve">   Préparations alimentaires, n.d.a.</v>
      </c>
      <c r="C178">
        <v>72902682</v>
      </c>
      <c r="D178">
        <v>2889</v>
      </c>
    </row>
    <row r="179" spans="1:4" x14ac:dyDescent="0.25">
      <c r="A179" t="str">
        <f>T("   230400")</f>
        <v xml:space="preserve">   230400</v>
      </c>
      <c r="B179"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79">
        <v>66374281</v>
      </c>
      <c r="D179">
        <v>179185</v>
      </c>
    </row>
    <row r="180" spans="1:4" x14ac:dyDescent="0.25">
      <c r="A180" t="str">
        <f>T("   230610")</f>
        <v xml:space="preserve">   230610</v>
      </c>
      <c r="B180"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80">
        <v>973272578</v>
      </c>
      <c r="D180">
        <v>6322950</v>
      </c>
    </row>
    <row r="181" spans="1:4" x14ac:dyDescent="0.25">
      <c r="A181" t="str">
        <f>T("   271019")</f>
        <v xml:space="preserve">   271019</v>
      </c>
      <c r="B181" t="str">
        <f>T("   Huiles moyennes et préparations, de pétrole ou de minéraux bitumineux, n.d.a.")</f>
        <v xml:space="preserve">   Huiles moyennes et préparations, de pétrole ou de minéraux bitumineux, n.d.a.</v>
      </c>
      <c r="C181">
        <v>93289551</v>
      </c>
      <c r="D181">
        <v>178364</v>
      </c>
    </row>
    <row r="182" spans="1:4" x14ac:dyDescent="0.25">
      <c r="A182" t="str">
        <f>T("   271320")</f>
        <v xml:space="preserve">   271320</v>
      </c>
      <c r="B182" t="str">
        <f>T("   Bitume de pétrole")</f>
        <v xml:space="preserve">   Bitume de pétrole</v>
      </c>
      <c r="C182">
        <v>3834000</v>
      </c>
      <c r="D182">
        <v>9000</v>
      </c>
    </row>
    <row r="183" spans="1:4" x14ac:dyDescent="0.25">
      <c r="A183" t="str">
        <f>T("   350510")</f>
        <v xml:space="preserve">   350510</v>
      </c>
      <c r="B183" t="str">
        <f>T("   DEXTRINE ET AUTRES AMIDONS ET FÉCULES MODIFIÉS [LES AMIDONS ET FÉCULES PRÉ-GÉLATINISÉS OU ESTÉRIFIÉS, P.EX.]")</f>
        <v xml:space="preserve">   DEXTRINE ET AUTRES AMIDONS ET FÉCULES MODIFIÉS [LES AMIDONS ET FÉCULES PRÉ-GÉLATINISÉS OU ESTÉRIFIÉS, P.EX.]</v>
      </c>
      <c r="C183">
        <v>42435483</v>
      </c>
      <c r="D183">
        <v>57640.82</v>
      </c>
    </row>
    <row r="184" spans="1:4" x14ac:dyDescent="0.25">
      <c r="A184" t="str">
        <f>T("   440200")</f>
        <v xml:space="preserve">   440200</v>
      </c>
      <c r="B184" t="str">
        <f>T("   Charbon de bois - y.c. le charbon de coques ou de noix -, même aggloméré (à l'excl. des fusains et du charbon de bois conditionné comme médicament, mélangé d'encens ou activé)")</f>
        <v xml:space="preserve">   Charbon de bois - y.c. le charbon de coques ou de noix -, même aggloméré (à l'excl. des fusains et du charbon de bois conditionné comme médicament, mélangé d'encens ou activé)</v>
      </c>
      <c r="C184">
        <v>750000</v>
      </c>
      <c r="D184">
        <v>15000</v>
      </c>
    </row>
    <row r="185" spans="1:4" x14ac:dyDescent="0.25">
      <c r="A185" t="str">
        <f>T("   440729")</f>
        <v xml:space="preserve">   440729</v>
      </c>
      <c r="B185" t="s">
        <v>48</v>
      </c>
      <c r="C185">
        <v>89926466</v>
      </c>
      <c r="D185">
        <v>140000</v>
      </c>
    </row>
    <row r="186" spans="1:4" x14ac:dyDescent="0.25">
      <c r="A186" t="str">
        <f>T("   440799")</f>
        <v xml:space="preserve">   440799</v>
      </c>
      <c r="B186" t="s">
        <v>49</v>
      </c>
      <c r="C186">
        <v>15013635</v>
      </c>
      <c r="D186">
        <v>65000</v>
      </c>
    </row>
    <row r="187" spans="1:4" x14ac:dyDescent="0.25">
      <c r="A187" t="str">
        <f>T("   441300")</f>
        <v xml:space="preserve">   441300</v>
      </c>
      <c r="B187" t="str">
        <f>T("   Bois dits 'densifiés', en blocs, planches, lames ou profilés")</f>
        <v xml:space="preserve">   Bois dits 'densifiés', en blocs, planches, lames ou profilés</v>
      </c>
      <c r="C187">
        <v>1596757</v>
      </c>
      <c r="D187">
        <v>5768</v>
      </c>
    </row>
    <row r="188" spans="1:4" x14ac:dyDescent="0.25">
      <c r="A188" t="str">
        <f>T("   490700")</f>
        <v xml:space="preserve">   490700</v>
      </c>
      <c r="B188" t="s">
        <v>54</v>
      </c>
      <c r="C188">
        <v>34600000</v>
      </c>
      <c r="D188">
        <v>16453</v>
      </c>
    </row>
    <row r="189" spans="1:4" x14ac:dyDescent="0.25">
      <c r="A189" t="str">
        <f>T("   520812")</f>
        <v xml:space="preserve">   520812</v>
      </c>
      <c r="B189" t="str">
        <f>T("   Tissus de coton, écrus, à armure toile, contenant &gt;= 85% en poids de coton, d'un poids &gt; 100 g/m² mais &lt;= 200 g/m²")</f>
        <v xml:space="preserve">   Tissus de coton, écrus, à armure toile, contenant &gt;= 85% en poids de coton, d'un poids &gt; 100 g/m² mais &lt;= 200 g/m²</v>
      </c>
      <c r="C189">
        <v>4564114800</v>
      </c>
      <c r="D189">
        <v>1597602</v>
      </c>
    </row>
    <row r="190" spans="1:4" x14ac:dyDescent="0.25">
      <c r="A190" t="str">
        <f>T("   560900")</f>
        <v xml:space="preserve">   560900</v>
      </c>
      <c r="B190" t="str">
        <f>T("   Articles en fils, lames ou formes simil. du n° 5404 ou 5405, ficelles, cordes ou cordages du n° 5607, n.d.a.")</f>
        <v xml:space="preserve">   Articles en fils, lames ou formes simil. du n° 5404 ou 5405, ficelles, cordes ou cordages du n° 5607, n.d.a.</v>
      </c>
      <c r="C190">
        <v>736175</v>
      </c>
      <c r="D190">
        <v>3</v>
      </c>
    </row>
    <row r="191" spans="1:4" x14ac:dyDescent="0.25">
      <c r="A191" t="str">
        <f>T("   620590")</f>
        <v xml:space="preserve">   620590</v>
      </c>
      <c r="B19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91">
        <v>1500000</v>
      </c>
      <c r="D191">
        <v>1800</v>
      </c>
    </row>
    <row r="192" spans="1:4" x14ac:dyDescent="0.25">
      <c r="A192" t="str">
        <f>T("   630533")</f>
        <v xml:space="preserve">   630533</v>
      </c>
      <c r="B192"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92">
        <v>45500000</v>
      </c>
      <c r="D192">
        <v>16660</v>
      </c>
    </row>
    <row r="193" spans="1:4" x14ac:dyDescent="0.25">
      <c r="A193" t="str">
        <f>T("   630790")</f>
        <v xml:space="preserve">   630790</v>
      </c>
      <c r="B193" t="str">
        <f>T("   Articles de matières textiles, confectionnés, y.c. les patrons de vêtements n.d.a.")</f>
        <v xml:space="preserve">   Articles de matières textiles, confectionnés, y.c. les patrons de vêtements n.d.a.</v>
      </c>
      <c r="C193">
        <v>72317</v>
      </c>
      <c r="D193">
        <v>5</v>
      </c>
    </row>
    <row r="194" spans="1:4" x14ac:dyDescent="0.25">
      <c r="A194" t="str">
        <f>T("   630900")</f>
        <v xml:space="preserve">   630900</v>
      </c>
      <c r="B194" t="s">
        <v>63</v>
      </c>
      <c r="C194">
        <v>12100000</v>
      </c>
      <c r="D194">
        <v>19000</v>
      </c>
    </row>
    <row r="195" spans="1:4" x14ac:dyDescent="0.25">
      <c r="A195" t="str">
        <f>T("   680100")</f>
        <v xml:space="preserve">   680100</v>
      </c>
      <c r="B195" t="str">
        <f>T("   Pavés, bordures de trottoirs et dalles de pavage, en pierres naturelles (autres que l'ardoise)")</f>
        <v xml:space="preserve">   Pavés, bordures de trottoirs et dalles de pavage, en pierres naturelles (autres que l'ardoise)</v>
      </c>
      <c r="C195">
        <v>7600</v>
      </c>
      <c r="D195">
        <v>650</v>
      </c>
    </row>
    <row r="196" spans="1:4" x14ac:dyDescent="0.25">
      <c r="A196" t="str">
        <f>T("   681019")</f>
        <v xml:space="preserve">   681019</v>
      </c>
      <c r="B196"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96">
        <v>18406400</v>
      </c>
      <c r="D196">
        <v>83396</v>
      </c>
    </row>
    <row r="197" spans="1:4" x14ac:dyDescent="0.25">
      <c r="A197" t="str">
        <f>T("   700529")</f>
        <v xml:space="preserve">   700529</v>
      </c>
      <c r="B197" t="s">
        <v>72</v>
      </c>
      <c r="C197">
        <v>6120763</v>
      </c>
      <c r="D197">
        <v>23204</v>
      </c>
    </row>
    <row r="198" spans="1:4" x14ac:dyDescent="0.25">
      <c r="A198" t="str">
        <f>T("   722990")</f>
        <v xml:space="preserve">   722990</v>
      </c>
      <c r="B198" t="str">
        <f>T("   FILS EN ACIERS ALLIÉS AUTRES QU'ACIERS INOXYDABLES, EN COURONNES OU EN ROULEAUX (SAUF FIL MACHINE ET FIL EN ACIERS SILICOMANGANEUX)")</f>
        <v xml:space="preserve">   FILS EN ACIERS ALLIÉS AUTRES QU'ACIERS INOXYDABLES, EN COURONNES OU EN ROULEAUX (SAUF FIL MACHINE ET FIL EN ACIERS SILICOMANGANEUX)</v>
      </c>
      <c r="C198">
        <v>617707</v>
      </c>
      <c r="D198">
        <v>283</v>
      </c>
    </row>
    <row r="199" spans="1:4" x14ac:dyDescent="0.25">
      <c r="A199" t="str">
        <f>T("   732394")</f>
        <v xml:space="preserve">   732394</v>
      </c>
      <c r="B199" t="s">
        <v>82</v>
      </c>
      <c r="C199">
        <v>1000000</v>
      </c>
      <c r="D199">
        <v>1050</v>
      </c>
    </row>
    <row r="200" spans="1:4" x14ac:dyDescent="0.25">
      <c r="A200" t="str">
        <f>T("   732399")</f>
        <v xml:space="preserve">   732399</v>
      </c>
      <c r="B200" t="s">
        <v>83</v>
      </c>
      <c r="C200">
        <v>8500000</v>
      </c>
      <c r="D200">
        <v>4000</v>
      </c>
    </row>
    <row r="201" spans="1:4" x14ac:dyDescent="0.25">
      <c r="A201" t="str">
        <f>T("   732690")</f>
        <v xml:space="preserve">   732690</v>
      </c>
      <c r="B201"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01">
        <v>6899305</v>
      </c>
      <c r="D201">
        <v>7203</v>
      </c>
    </row>
    <row r="202" spans="1:4" x14ac:dyDescent="0.25">
      <c r="A202" t="str">
        <f>T("   761090")</f>
        <v xml:space="preserve">   761090</v>
      </c>
      <c r="B202"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202">
        <v>10288733</v>
      </c>
      <c r="D202">
        <v>10600</v>
      </c>
    </row>
    <row r="203" spans="1:4" x14ac:dyDescent="0.25">
      <c r="A203" t="str">
        <f>T("   761699")</f>
        <v xml:space="preserve">   761699</v>
      </c>
      <c r="B203" t="str">
        <f>T("   Ouvrages en aluminium, n.d.a.")</f>
        <v xml:space="preserve">   Ouvrages en aluminium, n.d.a.</v>
      </c>
      <c r="C203">
        <v>2159357</v>
      </c>
      <c r="D203">
        <v>50</v>
      </c>
    </row>
    <row r="204" spans="1:4" x14ac:dyDescent="0.25">
      <c r="A204" t="str">
        <f>T("   820559")</f>
        <v xml:space="preserve">   820559</v>
      </c>
      <c r="B204" t="str">
        <f>T("   Outils à main, y.c. -les diamants de vitrier-, en métaux communs, n.d.a.")</f>
        <v xml:space="preserve">   Outils à main, y.c. -les diamants de vitrier-, en métaux communs, n.d.a.</v>
      </c>
      <c r="C204">
        <v>2199516</v>
      </c>
      <c r="D204">
        <v>303</v>
      </c>
    </row>
    <row r="205" spans="1:4" x14ac:dyDescent="0.25">
      <c r="A205" t="str">
        <f>T("   830910")</f>
        <v xml:space="preserve">   830910</v>
      </c>
      <c r="B205" t="str">
        <f>T("   Bouchons-couronnes en métaux communs")</f>
        <v xml:space="preserve">   Bouchons-couronnes en métaux communs</v>
      </c>
      <c r="C205">
        <v>16066050</v>
      </c>
      <c r="D205">
        <v>6852</v>
      </c>
    </row>
    <row r="206" spans="1:4" x14ac:dyDescent="0.25">
      <c r="A206" t="str">
        <f>T("   842539")</f>
        <v xml:space="preserve">   842539</v>
      </c>
      <c r="B206"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206">
        <v>1350115</v>
      </c>
      <c r="D206">
        <v>97</v>
      </c>
    </row>
    <row r="207" spans="1:4" x14ac:dyDescent="0.25">
      <c r="A207" t="str">
        <f>T("   842720")</f>
        <v xml:space="preserve">   842720</v>
      </c>
      <c r="B207" t="str">
        <f>T("   Chariots de manutention autopropulsés, autres qu'à moteur électrique, avec dispositif de levage")</f>
        <v xml:space="preserve">   Chariots de manutention autopropulsés, autres qu'à moteur électrique, avec dispositif de levage</v>
      </c>
      <c r="C207">
        <v>23437050</v>
      </c>
      <c r="D207">
        <v>13336</v>
      </c>
    </row>
    <row r="208" spans="1:4" x14ac:dyDescent="0.25">
      <c r="A208" t="str">
        <f>T("   842959")</f>
        <v xml:space="preserve">   842959</v>
      </c>
      <c r="B20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208">
        <v>24875000</v>
      </c>
      <c r="D208">
        <v>25000</v>
      </c>
    </row>
    <row r="209" spans="1:4" x14ac:dyDescent="0.25">
      <c r="A209" t="str">
        <f>T("   843049")</f>
        <v xml:space="preserve">   843049</v>
      </c>
      <c r="B209"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209">
        <v>400000000</v>
      </c>
      <c r="D209">
        <v>50000</v>
      </c>
    </row>
    <row r="210" spans="1:4" x14ac:dyDescent="0.25">
      <c r="A210" t="str">
        <f>T("   843141")</f>
        <v xml:space="preserve">   843141</v>
      </c>
      <c r="B210" t="str">
        <f>T("   Godets, bennes, bennes-preneuses, pelles, grappins et pinces pour machines et appareils du n° 8426, 8429 ou 8430")</f>
        <v xml:space="preserve">   Godets, bennes, bennes-preneuses, pelles, grappins et pinces pour machines et appareils du n° 8426, 8429 ou 8430</v>
      </c>
      <c r="C210">
        <v>369201</v>
      </c>
      <c r="D210">
        <v>26</v>
      </c>
    </row>
    <row r="211" spans="1:4" x14ac:dyDescent="0.25">
      <c r="A211" t="str">
        <f>T("   846719")</f>
        <v xml:space="preserve">   846719</v>
      </c>
      <c r="B211"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211">
        <v>966796</v>
      </c>
      <c r="D211">
        <v>69</v>
      </c>
    </row>
    <row r="212" spans="1:4" x14ac:dyDescent="0.25">
      <c r="A212" t="str">
        <f>T("   846810")</f>
        <v xml:space="preserve">   846810</v>
      </c>
      <c r="B212" t="str">
        <f>T("   Chalumeaux guidés à la main pour le brasage ou le soudage aux gaz")</f>
        <v xml:space="preserve">   Chalumeaux guidés à la main pour le brasage ou le soudage aux gaz</v>
      </c>
      <c r="C212">
        <v>385911</v>
      </c>
      <c r="D212">
        <v>28</v>
      </c>
    </row>
    <row r="213" spans="1:4" x14ac:dyDescent="0.25">
      <c r="A213" t="str">
        <f>T("   847439")</f>
        <v xml:space="preserve">   847439</v>
      </c>
      <c r="B213"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213">
        <v>625000</v>
      </c>
      <c r="D213">
        <v>3000</v>
      </c>
    </row>
    <row r="214" spans="1:4" x14ac:dyDescent="0.25">
      <c r="A214" t="str">
        <f>T("   847989")</f>
        <v xml:space="preserve">   847989</v>
      </c>
      <c r="B214" t="str">
        <f>T("   Machines et appareils, y.c. les appareils mécaniques, n.d.a.")</f>
        <v xml:space="preserve">   Machines et appareils, y.c. les appareils mécaniques, n.d.a.</v>
      </c>
      <c r="C214">
        <v>2000000</v>
      </c>
      <c r="D214">
        <v>936</v>
      </c>
    </row>
    <row r="215" spans="1:4" x14ac:dyDescent="0.25">
      <c r="A215" t="str">
        <f>T("   851519")</f>
        <v xml:space="preserve">   851519</v>
      </c>
      <c r="B215" t="str">
        <f>T("   Machines et appareils électriques pour le brasage fort ou tendre (sauf fers et pistolets à braser)")</f>
        <v xml:space="preserve">   Machines et appareils électriques pour le brasage fort ou tendre (sauf fers et pistolets à braser)</v>
      </c>
      <c r="C215">
        <v>6455551</v>
      </c>
      <c r="D215">
        <v>224</v>
      </c>
    </row>
    <row r="216" spans="1:4" x14ac:dyDescent="0.25">
      <c r="A216" t="str">
        <f>T("   851539")</f>
        <v xml:space="preserve">   851539</v>
      </c>
      <c r="B216" t="str">
        <f>T("   MACHINES ET APPAREILS POUR LE SOUDAGE DES MÉTAUX À L'ARC OU AU JET DE PLASMA, NON-AUTOMATIQUES")</f>
        <v xml:space="preserve">   MACHINES ET APPAREILS POUR LE SOUDAGE DES MÉTAUX À L'ARC OU AU JET DE PLASMA, NON-AUTOMATIQUES</v>
      </c>
      <c r="C216">
        <v>4007749</v>
      </c>
      <c r="D216">
        <v>357</v>
      </c>
    </row>
    <row r="217" spans="1:4" x14ac:dyDescent="0.25">
      <c r="A217" t="str">
        <f>T("   851590")</f>
        <v xml:space="preserve">   851590</v>
      </c>
      <c r="B217"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217">
        <v>535787</v>
      </c>
      <c r="D217">
        <v>38</v>
      </c>
    </row>
    <row r="218" spans="1:4" x14ac:dyDescent="0.25">
      <c r="A218" t="str">
        <f>T("   853910")</f>
        <v xml:space="preserve">   853910</v>
      </c>
      <c r="B218" t="str">
        <f>T("   Phares et projecteurs scellés")</f>
        <v xml:space="preserve">   Phares et projecteurs scellés</v>
      </c>
      <c r="C218">
        <v>89825</v>
      </c>
      <c r="D218">
        <v>4</v>
      </c>
    </row>
    <row r="219" spans="1:4" x14ac:dyDescent="0.25">
      <c r="A219" t="str">
        <f>T("   853939")</f>
        <v xml:space="preserve">   853939</v>
      </c>
      <c r="B21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219">
        <v>35052</v>
      </c>
      <c r="D219">
        <v>1</v>
      </c>
    </row>
    <row r="220" spans="1:4" x14ac:dyDescent="0.25">
      <c r="A220" t="str">
        <f>T("   854449")</f>
        <v xml:space="preserve">   854449</v>
      </c>
      <c r="B220" t="str">
        <f>T("   CONDUCTEURS ÉLECTRIQUES, POUR TENSION &lt;= 1.000 V, ISOLÉS, SANS PIÈCES DE CONNEXION, N.D.A.")</f>
        <v xml:space="preserve">   CONDUCTEURS ÉLECTRIQUES, POUR TENSION &lt;= 1.000 V, ISOLÉS, SANS PIÈCES DE CONNEXION, N.D.A.</v>
      </c>
      <c r="C220">
        <v>758693</v>
      </c>
      <c r="D220">
        <v>56</v>
      </c>
    </row>
    <row r="221" spans="1:4" x14ac:dyDescent="0.25">
      <c r="A221" t="str">
        <f>T("   870120")</f>
        <v xml:space="preserve">   870120</v>
      </c>
      <c r="B221" t="str">
        <f>T("   Tracteurs routiers pour semi-remorques")</f>
        <v xml:space="preserve">   Tracteurs routiers pour semi-remorques</v>
      </c>
      <c r="C221">
        <v>157493</v>
      </c>
      <c r="D221">
        <v>8500</v>
      </c>
    </row>
    <row r="222" spans="1:4" x14ac:dyDescent="0.25">
      <c r="A222" t="str">
        <f>T("   870323")</f>
        <v xml:space="preserve">   870323</v>
      </c>
      <c r="B222" t="s">
        <v>104</v>
      </c>
      <c r="C222">
        <v>40941540</v>
      </c>
      <c r="D222">
        <v>4558</v>
      </c>
    </row>
    <row r="223" spans="1:4" x14ac:dyDescent="0.25">
      <c r="A223" t="str">
        <f>T("   870421")</f>
        <v xml:space="preserve">   870421</v>
      </c>
      <c r="B223" t="s">
        <v>108</v>
      </c>
      <c r="C223">
        <v>5899046</v>
      </c>
      <c r="D223">
        <v>1790</v>
      </c>
    </row>
    <row r="224" spans="1:4" x14ac:dyDescent="0.25">
      <c r="A224" t="str">
        <f>T("   870422")</f>
        <v xml:space="preserve">   870422</v>
      </c>
      <c r="B224" t="s">
        <v>109</v>
      </c>
      <c r="C224">
        <v>307200</v>
      </c>
      <c r="D224">
        <v>12130</v>
      </c>
    </row>
    <row r="225" spans="1:4" x14ac:dyDescent="0.25">
      <c r="A225" t="str">
        <f>T("   870510")</f>
        <v xml:space="preserve">   870510</v>
      </c>
      <c r="B225" t="str">
        <f>T("   Camions-grues (sauf dépanneuses)")</f>
        <v xml:space="preserve">   Camions-grues (sauf dépanneuses)</v>
      </c>
      <c r="C225">
        <v>37669794</v>
      </c>
      <c r="D225">
        <v>21380</v>
      </c>
    </row>
    <row r="226" spans="1:4" x14ac:dyDescent="0.25">
      <c r="A226" t="str">
        <f>T("   871190")</f>
        <v xml:space="preserve">   871190</v>
      </c>
      <c r="B226" t="str">
        <f>T("   Side-cars")</f>
        <v xml:space="preserve">   Side-cars</v>
      </c>
      <c r="C226">
        <v>800000</v>
      </c>
      <c r="D226">
        <v>200</v>
      </c>
    </row>
    <row r="227" spans="1:4" x14ac:dyDescent="0.25">
      <c r="A227" t="str">
        <f>T("   901010")</f>
        <v xml:space="preserve">   901010</v>
      </c>
      <c r="B227" t="s">
        <v>114</v>
      </c>
      <c r="C227">
        <v>4000000</v>
      </c>
      <c r="D227">
        <v>16000</v>
      </c>
    </row>
    <row r="228" spans="1:4" x14ac:dyDescent="0.25">
      <c r="A228" t="str">
        <f>T("   901380")</f>
        <v xml:space="preserve">   901380</v>
      </c>
      <c r="B228" t="str">
        <f>T("   DISPOSITIFS À CRISTAUX LIQUIDES, N.D.A., ET AUTRES APPAREILS ET INSTRUMENTS D'OPTIQUE, N.D.A. DANS LE PRÉSENT CHAPITRE")</f>
        <v xml:space="preserve">   DISPOSITIFS À CRISTAUX LIQUIDES, N.D.A., ET AUTRES APPAREILS ET INSTRUMENTS D'OPTIQUE, N.D.A. DANS LE PRÉSENT CHAPITRE</v>
      </c>
      <c r="C228">
        <v>384331</v>
      </c>
      <c r="D228">
        <v>29</v>
      </c>
    </row>
    <row r="229" spans="1:4" x14ac:dyDescent="0.25">
      <c r="A229" t="str">
        <f>T("   940350")</f>
        <v xml:space="preserve">   940350</v>
      </c>
      <c r="B229" t="str">
        <f>T("   Meubles pour chambres à coucher, en bois (sauf sièges)")</f>
        <v xml:space="preserve">   Meubles pour chambres à coucher, en bois (sauf sièges)</v>
      </c>
      <c r="C229">
        <v>3000000</v>
      </c>
      <c r="D229">
        <v>3650</v>
      </c>
    </row>
    <row r="230" spans="1:4" x14ac:dyDescent="0.25">
      <c r="A230" t="str">
        <f>T("   940600")</f>
        <v xml:space="preserve">   940600</v>
      </c>
      <c r="B230" t="str">
        <f>T("   Constructions préfabriquées, même incomplètes ou non encore montées")</f>
        <v xml:space="preserve">   Constructions préfabriquées, même incomplètes ou non encore montées</v>
      </c>
      <c r="C230">
        <v>186756</v>
      </c>
      <c r="D230">
        <v>166</v>
      </c>
    </row>
    <row r="231" spans="1:4" x14ac:dyDescent="0.25">
      <c r="A231" t="str">
        <f>T("CL")</f>
        <v>CL</v>
      </c>
      <c r="B231" t="str">
        <f>T("Chili")</f>
        <v>Chili</v>
      </c>
    </row>
    <row r="232" spans="1:4" x14ac:dyDescent="0.25">
      <c r="A232" t="str">
        <f>T("   ZZ_Total_Produit_SH6")</f>
        <v xml:space="preserve">   ZZ_Total_Produit_SH6</v>
      </c>
      <c r="B232" t="str">
        <f>T("   ZZ_Total_Produit_SH6")</f>
        <v xml:space="preserve">   ZZ_Total_Produit_SH6</v>
      </c>
      <c r="C232">
        <v>30000</v>
      </c>
      <c r="D232">
        <v>10</v>
      </c>
    </row>
    <row r="233" spans="1:4" x14ac:dyDescent="0.25">
      <c r="A233" t="str">
        <f>T("   120710")</f>
        <v xml:space="preserve">   120710</v>
      </c>
      <c r="B233" t="str">
        <f>T("   NOIX ET AMANDES DE PALMISTES")</f>
        <v xml:space="preserve">   NOIX ET AMANDES DE PALMISTES</v>
      </c>
      <c r="C233">
        <v>30000</v>
      </c>
      <c r="D233">
        <v>10</v>
      </c>
    </row>
    <row r="234" spans="1:4" x14ac:dyDescent="0.25">
      <c r="A234" t="str">
        <f>T("CM")</f>
        <v>CM</v>
      </c>
      <c r="B234" t="str">
        <f>T("Cameroun")</f>
        <v>Cameroun</v>
      </c>
    </row>
    <row r="235" spans="1:4" x14ac:dyDescent="0.25">
      <c r="A235" t="str">
        <f>T("   ZZ_Total_Produit_SH6")</f>
        <v xml:space="preserve">   ZZ_Total_Produit_SH6</v>
      </c>
      <c r="B235" t="str">
        <f>T("   ZZ_Total_Produit_SH6")</f>
        <v xml:space="preserve">   ZZ_Total_Produit_SH6</v>
      </c>
      <c r="C235">
        <v>1140126740</v>
      </c>
      <c r="D235">
        <v>368693.44</v>
      </c>
    </row>
    <row r="236" spans="1:4" x14ac:dyDescent="0.25">
      <c r="A236" t="str">
        <f>T("   300390")</f>
        <v xml:space="preserve">   300390</v>
      </c>
      <c r="B236" t="s">
        <v>31</v>
      </c>
      <c r="C236">
        <v>608436842</v>
      </c>
      <c r="D236">
        <v>89981.440000000002</v>
      </c>
    </row>
    <row r="237" spans="1:4" x14ac:dyDescent="0.25">
      <c r="A237" t="str">
        <f>T("   300490")</f>
        <v xml:space="preserve">   300490</v>
      </c>
      <c r="B237" t="s">
        <v>34</v>
      </c>
      <c r="C237">
        <v>79740616</v>
      </c>
      <c r="D237">
        <v>5178</v>
      </c>
    </row>
    <row r="238" spans="1:4" x14ac:dyDescent="0.25">
      <c r="A238" t="str">
        <f>T("   520100")</f>
        <v xml:space="preserve">   520100</v>
      </c>
      <c r="B238" t="str">
        <f>T("   COTON, NON-CARDÉ NI PEIGNÉ")</f>
        <v xml:space="preserve">   COTON, NON-CARDÉ NI PEIGNÉ</v>
      </c>
      <c r="C238">
        <v>101535104</v>
      </c>
      <c r="D238">
        <v>95785</v>
      </c>
    </row>
    <row r="239" spans="1:4" x14ac:dyDescent="0.25">
      <c r="A239" t="str">
        <f>T("   521211")</f>
        <v xml:space="preserve">   521211</v>
      </c>
      <c r="B239"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239">
        <v>173073600</v>
      </c>
      <c r="D239">
        <v>54944</v>
      </c>
    </row>
    <row r="240" spans="1:4" x14ac:dyDescent="0.25">
      <c r="A240" t="str">
        <f>T("   620590")</f>
        <v xml:space="preserve">   620590</v>
      </c>
      <c r="B24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40">
        <v>1250000</v>
      </c>
      <c r="D240">
        <v>1400</v>
      </c>
    </row>
    <row r="241" spans="1:4" x14ac:dyDescent="0.25">
      <c r="A241" t="str">
        <f>T("   732394")</f>
        <v xml:space="preserve">   732394</v>
      </c>
      <c r="B241" t="s">
        <v>82</v>
      </c>
      <c r="C241">
        <v>650000</v>
      </c>
      <c r="D241">
        <v>700</v>
      </c>
    </row>
    <row r="242" spans="1:4" x14ac:dyDescent="0.25">
      <c r="A242" t="str">
        <f>T("   732399")</f>
        <v xml:space="preserve">   732399</v>
      </c>
      <c r="B242" t="s">
        <v>83</v>
      </c>
      <c r="C242">
        <v>4544000</v>
      </c>
      <c r="D242">
        <v>5500</v>
      </c>
    </row>
    <row r="243" spans="1:4" x14ac:dyDescent="0.25">
      <c r="A243" t="str">
        <f>T("   842790")</f>
        <v xml:space="preserve">   842790</v>
      </c>
      <c r="B243" t="str">
        <f>T("   Chariots de manutention munis d'un dispositif de levage mais non autopropulsés")</f>
        <v xml:space="preserve">   Chariots de manutention munis d'un dispositif de levage mais non autopropulsés</v>
      </c>
      <c r="C243">
        <v>10862698</v>
      </c>
      <c r="D243">
        <v>3990</v>
      </c>
    </row>
    <row r="244" spans="1:4" x14ac:dyDescent="0.25">
      <c r="A244" t="str">
        <f>T("   847982")</f>
        <v xml:space="preserve">   847982</v>
      </c>
      <c r="B244"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244">
        <v>92898484</v>
      </c>
      <c r="D244">
        <v>68525</v>
      </c>
    </row>
    <row r="245" spans="1:4" x14ac:dyDescent="0.25">
      <c r="A245" t="str">
        <f>T("   850211")</f>
        <v xml:space="preserve">   850211</v>
      </c>
      <c r="B245" t="s">
        <v>101</v>
      </c>
      <c r="C245">
        <v>10617369</v>
      </c>
      <c r="D245">
        <v>2881</v>
      </c>
    </row>
    <row r="246" spans="1:4" x14ac:dyDescent="0.25">
      <c r="A246" t="str">
        <f>T("   850212")</f>
        <v xml:space="preserve">   850212</v>
      </c>
      <c r="B24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246">
        <v>9034354</v>
      </c>
      <c r="D246">
        <v>2600</v>
      </c>
    </row>
    <row r="247" spans="1:4" x14ac:dyDescent="0.25">
      <c r="A247" t="str">
        <f>T("   870322")</f>
        <v xml:space="preserve">   870322</v>
      </c>
      <c r="B247" t="s">
        <v>103</v>
      </c>
      <c r="C247">
        <v>6700000</v>
      </c>
      <c r="D247">
        <v>17159</v>
      </c>
    </row>
    <row r="248" spans="1:4" x14ac:dyDescent="0.25">
      <c r="A248" t="str">
        <f>T("   870323")</f>
        <v xml:space="preserve">   870323</v>
      </c>
      <c r="B248" t="s">
        <v>104</v>
      </c>
      <c r="C248">
        <v>1000000</v>
      </c>
      <c r="D248">
        <v>1850</v>
      </c>
    </row>
    <row r="249" spans="1:4" x14ac:dyDescent="0.25">
      <c r="A249" t="str">
        <f>T("   870324")</f>
        <v xml:space="preserve">   870324</v>
      </c>
      <c r="B249" t="s">
        <v>105</v>
      </c>
      <c r="C249">
        <v>4638442</v>
      </c>
      <c r="D249">
        <v>1800</v>
      </c>
    </row>
    <row r="250" spans="1:4" x14ac:dyDescent="0.25">
      <c r="A250" t="str">
        <f>T("   940350")</f>
        <v xml:space="preserve">   940350</v>
      </c>
      <c r="B250" t="str">
        <f>T("   Meubles pour chambres à coucher, en bois (sauf sièges)")</f>
        <v xml:space="preserve">   Meubles pour chambres à coucher, en bois (sauf sièges)</v>
      </c>
      <c r="C250">
        <v>2100000</v>
      </c>
      <c r="D250">
        <v>3900</v>
      </c>
    </row>
    <row r="251" spans="1:4" x14ac:dyDescent="0.25">
      <c r="A251" t="str">
        <f>T("   940380")</f>
        <v xml:space="preserve">   940380</v>
      </c>
      <c r="B251" t="str">
        <f>T("   Meubles en rotin, osier, bambou ou autres matières (sauf métal, bois et matières plastiques)")</f>
        <v xml:space="preserve">   Meubles en rotin, osier, bambou ou autres matières (sauf métal, bois et matières plastiques)</v>
      </c>
      <c r="C251">
        <v>6000000</v>
      </c>
      <c r="D251">
        <v>8000</v>
      </c>
    </row>
    <row r="252" spans="1:4" x14ac:dyDescent="0.25">
      <c r="A252" t="str">
        <f>T("   940390")</f>
        <v xml:space="preserve">   940390</v>
      </c>
      <c r="B252"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252">
        <v>27045231</v>
      </c>
      <c r="D252">
        <v>4500</v>
      </c>
    </row>
    <row r="253" spans="1:4" x14ac:dyDescent="0.25">
      <c r="A253" t="str">
        <f>T("CN")</f>
        <v>CN</v>
      </c>
      <c r="B253" t="str">
        <f>T("Chine")</f>
        <v>Chine</v>
      </c>
    </row>
    <row r="254" spans="1:4" x14ac:dyDescent="0.25">
      <c r="A254" t="str">
        <f>T("   ZZ_Total_Produit_SH6")</f>
        <v xml:space="preserve">   ZZ_Total_Produit_SH6</v>
      </c>
      <c r="B254" t="str">
        <f>T("   ZZ_Total_Produit_SH6")</f>
        <v xml:space="preserve">   ZZ_Total_Produit_SH6</v>
      </c>
      <c r="C254">
        <v>53495995918</v>
      </c>
      <c r="D254">
        <v>192044701</v>
      </c>
    </row>
    <row r="255" spans="1:4" x14ac:dyDescent="0.25">
      <c r="A255" t="str">
        <f>T("   030613")</f>
        <v xml:space="preserve">   030613</v>
      </c>
      <c r="B255" t="str">
        <f>T("   CREVETTES, MÊME DÉCORTIQUÉES, CONGELÉES, Y.C. LES CREVETTES NON-DÉCORTIQUÉES PRÉALABLEMENT CUITES À L'EAU OU À LA VAPEUR")</f>
        <v xml:space="preserve">   CREVETTES, MÊME DÉCORTIQUÉES, CONGELÉES, Y.C. LES CREVETTES NON-DÉCORTIQUÉES PRÉALABLEMENT CUITES À L'EAU OU À LA VAPEUR</v>
      </c>
      <c r="C255">
        <v>13193700</v>
      </c>
      <c r="D255">
        <v>26382</v>
      </c>
    </row>
    <row r="256" spans="1:4" x14ac:dyDescent="0.25">
      <c r="A256" t="str">
        <f>T("   060499")</f>
        <v xml:space="preserve">   060499</v>
      </c>
      <c r="B256"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256">
        <v>1000000</v>
      </c>
      <c r="D256">
        <v>30000</v>
      </c>
    </row>
    <row r="257" spans="1:4" x14ac:dyDescent="0.25">
      <c r="A257" t="str">
        <f>T("   080131")</f>
        <v xml:space="preserve">   080131</v>
      </c>
      <c r="B257" t="str">
        <f>T("   Noix de cajou, fraîches ou sèches, en coques")</f>
        <v xml:space="preserve">   Noix de cajou, fraîches ou sèches, en coques</v>
      </c>
      <c r="C257">
        <v>180260800</v>
      </c>
      <c r="D257">
        <v>901304</v>
      </c>
    </row>
    <row r="258" spans="1:4" x14ac:dyDescent="0.25">
      <c r="A258" t="str">
        <f>T("   080132")</f>
        <v xml:space="preserve">   080132</v>
      </c>
      <c r="B258" t="str">
        <f>T("   Noix de cajou, fraîches ou sèches, sans coques")</f>
        <v xml:space="preserve">   Noix de cajou, fraîches ou sèches, sans coques</v>
      </c>
      <c r="C258">
        <v>235468156</v>
      </c>
      <c r="D258">
        <v>570900</v>
      </c>
    </row>
    <row r="259" spans="1:4" x14ac:dyDescent="0.25">
      <c r="A259" t="str">
        <f>T("   080290")</f>
        <v xml:space="preserve">   080290</v>
      </c>
      <c r="B259"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259">
        <v>5700000</v>
      </c>
      <c r="D259">
        <v>38000</v>
      </c>
    </row>
    <row r="260" spans="1:4" x14ac:dyDescent="0.25">
      <c r="A260" t="str">
        <f>T("   080719")</f>
        <v xml:space="preserve">   080719</v>
      </c>
      <c r="B260" t="str">
        <f>T("   Melons, frais (à l'excl. des pastèques)")</f>
        <v xml:space="preserve">   Melons, frais (à l'excl. des pastèques)</v>
      </c>
      <c r="C260">
        <v>2500000</v>
      </c>
      <c r="D260">
        <v>200000</v>
      </c>
    </row>
    <row r="261" spans="1:4" x14ac:dyDescent="0.25">
      <c r="A261" t="str">
        <f>T("   091099")</f>
        <v xml:space="preserve">   091099</v>
      </c>
      <c r="B261" t="s">
        <v>18</v>
      </c>
      <c r="C261">
        <v>18000000</v>
      </c>
      <c r="D261">
        <v>120000</v>
      </c>
    </row>
    <row r="262" spans="1:4" x14ac:dyDescent="0.25">
      <c r="A262" t="str">
        <f>T("   100190")</f>
        <v xml:space="preserve">   100190</v>
      </c>
      <c r="B262" t="str">
        <f>T("   Froment [blé] et méteil (à l'excl. du froment [blé] dur)")</f>
        <v xml:space="preserve">   Froment [blé] et méteil (à l'excl. du froment [blé] dur)</v>
      </c>
      <c r="C262">
        <v>24000000</v>
      </c>
      <c r="D262">
        <v>150000</v>
      </c>
    </row>
    <row r="263" spans="1:4" x14ac:dyDescent="0.25">
      <c r="A263" t="str">
        <f>T("   110290")</f>
        <v xml:space="preserve">   110290</v>
      </c>
      <c r="B263" t="str">
        <f>T("   FARINES DE CÉRÉALES (À L'EXCL. DES FARINES DE FROMENT [BLÉ], DE MÉTEIL, DE SEIGLE ET DE MAÏS)")</f>
        <v xml:space="preserve">   FARINES DE CÉRÉALES (À L'EXCL. DES FARINES DE FROMENT [BLÉ], DE MÉTEIL, DE SEIGLE ET DE MAÏS)</v>
      </c>
      <c r="C263">
        <v>800000</v>
      </c>
      <c r="D263">
        <v>10000</v>
      </c>
    </row>
    <row r="264" spans="1:4" x14ac:dyDescent="0.25">
      <c r="A264" t="str">
        <f>T("   120740")</f>
        <v xml:space="preserve">   120740</v>
      </c>
      <c r="B264" t="str">
        <f>T("   Graines de sésame, même concassées")</f>
        <v xml:space="preserve">   Graines de sésame, même concassées</v>
      </c>
      <c r="C264">
        <v>73130000</v>
      </c>
      <c r="D264">
        <v>410000</v>
      </c>
    </row>
    <row r="265" spans="1:4" x14ac:dyDescent="0.25">
      <c r="A265" t="str">
        <f>T("   140420")</f>
        <v xml:space="preserve">   140420</v>
      </c>
      <c r="B265" t="str">
        <f>T("   Linters de coton")</f>
        <v xml:space="preserve">   Linters de coton</v>
      </c>
      <c r="C265">
        <v>279609337</v>
      </c>
      <c r="D265">
        <v>1296243</v>
      </c>
    </row>
    <row r="266" spans="1:4" x14ac:dyDescent="0.25">
      <c r="A266" t="str">
        <f>T("   151620")</f>
        <v xml:space="preserve">   151620</v>
      </c>
      <c r="B26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266">
        <v>500000</v>
      </c>
      <c r="D266">
        <v>10000</v>
      </c>
    </row>
    <row r="267" spans="1:4" x14ac:dyDescent="0.25">
      <c r="A267" t="str">
        <f>T("   250100")</f>
        <v xml:space="preserve">   250100</v>
      </c>
      <c r="B267" t="s">
        <v>27</v>
      </c>
      <c r="C267">
        <v>125157306</v>
      </c>
      <c r="D267">
        <v>125796</v>
      </c>
    </row>
    <row r="268" spans="1:4" x14ac:dyDescent="0.25">
      <c r="A268" t="str">
        <f>T("   293329")</f>
        <v xml:space="preserve">   293329</v>
      </c>
      <c r="B268" t="str">
        <f>T("   COMPOSÉS HÉTÉROCYCLIQUES À HÉTÉROATOME[S] D'AZOTE EXCLUSIVEMENT, DONT LA STRUCTURE COMPORTE UN CYCLE IMIDAZOLE, HYDROGÉNÉ OU NON, NON-CONDENSÉ (À L'EXCL. DE L'HYDANTOÏNE ET DE SES DÉRIVÉS)")</f>
        <v xml:space="preserve">   COMPOSÉS HÉTÉROCYCLIQUES À HÉTÉROATOME[S] D'AZOTE EXCLUSIVEMENT, DONT LA STRUCTURE COMPORTE UN CYCLE IMIDAZOLE, HYDROGÉNÉ OU NON, NON-CONDENSÉ (À L'EXCL. DE L'HYDANTOÏNE ET DE SES DÉRIVÉS)</v>
      </c>
      <c r="C268">
        <v>60000</v>
      </c>
      <c r="D268">
        <v>5100</v>
      </c>
    </row>
    <row r="269" spans="1:4" x14ac:dyDescent="0.25">
      <c r="A269" t="str">
        <f>T("   440349")</f>
        <v xml:space="preserve">   440349</v>
      </c>
      <c r="B269" t="s">
        <v>46</v>
      </c>
      <c r="C269">
        <v>5500000</v>
      </c>
      <c r="D269">
        <v>490000</v>
      </c>
    </row>
    <row r="270" spans="1:4" x14ac:dyDescent="0.25">
      <c r="A270" t="str">
        <f>T("   440399")</f>
        <v xml:space="preserve">   440399</v>
      </c>
      <c r="B270" t="s">
        <v>47</v>
      </c>
      <c r="C270">
        <v>2119601800</v>
      </c>
      <c r="D270">
        <v>65865613</v>
      </c>
    </row>
    <row r="271" spans="1:4" x14ac:dyDescent="0.25">
      <c r="A271" t="str">
        <f>T("   440500")</f>
        <v xml:space="preserve">   440500</v>
      </c>
      <c r="B271"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271">
        <v>102366500</v>
      </c>
      <c r="D271">
        <v>2017330</v>
      </c>
    </row>
    <row r="272" spans="1:4" x14ac:dyDescent="0.25">
      <c r="A272" t="str">
        <f>T("   440690")</f>
        <v xml:space="preserve">   440690</v>
      </c>
      <c r="B272" t="str">
        <f>T("   Traverses en bois, pour voies ferrées ou simil., imprégnées")</f>
        <v xml:space="preserve">   Traverses en bois, pour voies ferrées ou simil., imprégnées</v>
      </c>
      <c r="C272">
        <v>491900000</v>
      </c>
      <c r="D272">
        <v>9922090</v>
      </c>
    </row>
    <row r="273" spans="1:4" x14ac:dyDescent="0.25">
      <c r="A273" t="str">
        <f>T("   440729")</f>
        <v xml:space="preserve">   440729</v>
      </c>
      <c r="B273" t="s">
        <v>48</v>
      </c>
      <c r="C273">
        <v>955669735</v>
      </c>
      <c r="D273">
        <v>18616000</v>
      </c>
    </row>
    <row r="274" spans="1:4" x14ac:dyDescent="0.25">
      <c r="A274" t="str">
        <f>T("   440799")</f>
        <v xml:space="preserve">   440799</v>
      </c>
      <c r="B274" t="s">
        <v>49</v>
      </c>
      <c r="C274">
        <v>583213000</v>
      </c>
      <c r="D274">
        <v>24367360</v>
      </c>
    </row>
    <row r="275" spans="1:4" x14ac:dyDescent="0.25">
      <c r="A275" t="str">
        <f>T("   440910")</f>
        <v xml:space="preserve">   440910</v>
      </c>
      <c r="B275" t="s">
        <v>50</v>
      </c>
      <c r="C275">
        <v>500000</v>
      </c>
      <c r="D275">
        <v>10000</v>
      </c>
    </row>
    <row r="276" spans="1:4" x14ac:dyDescent="0.25">
      <c r="A276" t="str">
        <f>T("   441299")</f>
        <v xml:space="preserve">   441299</v>
      </c>
      <c r="B276" t="s">
        <v>51</v>
      </c>
      <c r="C276">
        <v>8720000</v>
      </c>
      <c r="D276">
        <v>174400</v>
      </c>
    </row>
    <row r="277" spans="1:4" x14ac:dyDescent="0.25">
      <c r="A277" t="str">
        <f>T("   460210")</f>
        <v xml:space="preserve">   460210</v>
      </c>
      <c r="B277" t="s">
        <v>52</v>
      </c>
      <c r="C277">
        <v>69000000</v>
      </c>
      <c r="D277">
        <v>270000</v>
      </c>
    </row>
    <row r="278" spans="1:4" x14ac:dyDescent="0.25">
      <c r="A278" t="str">
        <f>T("   482390")</f>
        <v xml:space="preserve">   482390</v>
      </c>
      <c r="B278" t="s">
        <v>53</v>
      </c>
      <c r="C278">
        <v>26000000</v>
      </c>
      <c r="D278">
        <v>260000</v>
      </c>
    </row>
    <row r="279" spans="1:4" x14ac:dyDescent="0.25">
      <c r="A279" t="str">
        <f>T("   490110")</f>
        <v xml:space="preserve">   490110</v>
      </c>
      <c r="B279"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279">
        <v>5000000</v>
      </c>
      <c r="D279">
        <v>50000</v>
      </c>
    </row>
    <row r="280" spans="1:4" x14ac:dyDescent="0.25">
      <c r="A280" t="str">
        <f>T("   520100")</f>
        <v xml:space="preserve">   520100</v>
      </c>
      <c r="B280" t="str">
        <f>T("   COTON, NON-CARDÉ NI PEIGNÉ")</f>
        <v xml:space="preserve">   COTON, NON-CARDÉ NI PEIGNÉ</v>
      </c>
      <c r="C280">
        <v>47164457102</v>
      </c>
      <c r="D280">
        <v>54270772</v>
      </c>
    </row>
    <row r="281" spans="1:4" x14ac:dyDescent="0.25">
      <c r="A281" t="str">
        <f>T("   520210")</f>
        <v xml:space="preserve">   520210</v>
      </c>
      <c r="B281" t="str">
        <f>T("   Déchets de fils de coton")</f>
        <v xml:space="preserve">   Déchets de fils de coton</v>
      </c>
      <c r="C281">
        <v>500000</v>
      </c>
      <c r="D281">
        <v>60000</v>
      </c>
    </row>
    <row r="282" spans="1:4" x14ac:dyDescent="0.25">
      <c r="A282" t="str">
        <f>T("   520512")</f>
        <v xml:space="preserve">   520512</v>
      </c>
      <c r="B282" t="s">
        <v>55</v>
      </c>
      <c r="C282">
        <v>348790985</v>
      </c>
      <c r="D282">
        <v>200500</v>
      </c>
    </row>
    <row r="283" spans="1:4" x14ac:dyDescent="0.25">
      <c r="A283" t="str">
        <f>T("   720429")</f>
        <v xml:space="preserve">   720429</v>
      </c>
      <c r="B283"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83">
        <v>19000000</v>
      </c>
      <c r="D283">
        <v>410000</v>
      </c>
    </row>
    <row r="284" spans="1:4" x14ac:dyDescent="0.25">
      <c r="A284" t="str">
        <f>T("   720430")</f>
        <v xml:space="preserve">   720430</v>
      </c>
      <c r="B284"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284">
        <v>222574000</v>
      </c>
      <c r="D284">
        <v>4459500</v>
      </c>
    </row>
    <row r="285" spans="1:4" x14ac:dyDescent="0.25">
      <c r="A285" t="str">
        <f>T("   720449")</f>
        <v xml:space="preserve">   720449</v>
      </c>
      <c r="B285" t="s">
        <v>75</v>
      </c>
      <c r="C285">
        <v>241000000</v>
      </c>
      <c r="D285">
        <v>6295000</v>
      </c>
    </row>
    <row r="286" spans="1:4" x14ac:dyDescent="0.25">
      <c r="A286" t="str">
        <f>T("   721391")</f>
        <v xml:space="preserve">   721391</v>
      </c>
      <c r="B286"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286">
        <v>115262950</v>
      </c>
      <c r="D286">
        <v>176815</v>
      </c>
    </row>
    <row r="287" spans="1:4" x14ac:dyDescent="0.25">
      <c r="A287" t="str">
        <f>T("   721730")</f>
        <v xml:space="preserve">   721730</v>
      </c>
      <c r="B287"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287">
        <v>49685547</v>
      </c>
      <c r="D287">
        <v>76296</v>
      </c>
    </row>
    <row r="288" spans="1:4" x14ac:dyDescent="0.25">
      <c r="A288" t="str">
        <f>T("   760200")</f>
        <v xml:space="preserve">   760200</v>
      </c>
      <c r="B288" t="s">
        <v>86</v>
      </c>
      <c r="C288">
        <v>2125000</v>
      </c>
      <c r="D288">
        <v>44300</v>
      </c>
    </row>
    <row r="289" spans="1:4" x14ac:dyDescent="0.25">
      <c r="A289" t="str">
        <f>T("   760429")</f>
        <v xml:space="preserve">   760429</v>
      </c>
      <c r="B289" t="str">
        <f>T("   Barres et profilés pleins en alliages d'aluminium, n.d.a.")</f>
        <v xml:space="preserve">   Barres et profilés pleins en alliages d'aluminium, n.d.a.</v>
      </c>
      <c r="C289">
        <v>4000000</v>
      </c>
      <c r="D289">
        <v>80000</v>
      </c>
    </row>
    <row r="290" spans="1:4" x14ac:dyDescent="0.25">
      <c r="A290" t="str">
        <f>T("   760519")</f>
        <v xml:space="preserve">   760519</v>
      </c>
      <c r="B290" t="s">
        <v>87</v>
      </c>
      <c r="C290">
        <v>500000</v>
      </c>
      <c r="D290">
        <v>10000</v>
      </c>
    </row>
    <row r="291" spans="1:4" x14ac:dyDescent="0.25">
      <c r="A291" t="str">
        <f>T("   790700")</f>
        <v xml:space="preserve">   790700</v>
      </c>
      <c r="B291" t="str">
        <f>T("   Ouvrages en zinc, n.d.a.")</f>
        <v xml:space="preserve">   Ouvrages en zinc, n.d.a.</v>
      </c>
      <c r="C291">
        <v>750000</v>
      </c>
      <c r="D291">
        <v>15000</v>
      </c>
    </row>
    <row r="292" spans="1:4" x14ac:dyDescent="0.25">
      <c r="A292" t="str">
        <f>T("   850790")</f>
        <v xml:space="preserve">   850790</v>
      </c>
      <c r="B292" t="str">
        <f>T("   Plaques, séparateurs et autres parties d'accumulateurs électriques n.d.a.")</f>
        <v xml:space="preserve">   Plaques, séparateurs et autres parties d'accumulateurs électriques n.d.a.</v>
      </c>
      <c r="C292">
        <v>500000</v>
      </c>
      <c r="D292">
        <v>10000</v>
      </c>
    </row>
    <row r="293" spans="1:4" x14ac:dyDescent="0.25">
      <c r="A293" t="str">
        <f>T("CO")</f>
        <v>CO</v>
      </c>
      <c r="B293" t="str">
        <f>T("Colombie")</f>
        <v>Colombie</v>
      </c>
    </row>
    <row r="294" spans="1:4" x14ac:dyDescent="0.25">
      <c r="A294" t="str">
        <f>T("   ZZ_Total_Produit_SH6")</f>
        <v xml:space="preserve">   ZZ_Total_Produit_SH6</v>
      </c>
      <c r="B294" t="str">
        <f>T("   ZZ_Total_Produit_SH6")</f>
        <v xml:space="preserve">   ZZ_Total_Produit_SH6</v>
      </c>
      <c r="C294">
        <v>2580000</v>
      </c>
      <c r="D294">
        <v>50048.06</v>
      </c>
    </row>
    <row r="295" spans="1:4" x14ac:dyDescent="0.25">
      <c r="A295" t="str">
        <f>T("   120710")</f>
        <v xml:space="preserve">   120710</v>
      </c>
      <c r="B295" t="str">
        <f>T("   NOIX ET AMANDES DE PALMISTES")</f>
        <v xml:space="preserve">   NOIX ET AMANDES DE PALMISTES</v>
      </c>
      <c r="C295">
        <v>80000</v>
      </c>
      <c r="D295">
        <v>48.06</v>
      </c>
    </row>
    <row r="296" spans="1:4" x14ac:dyDescent="0.25">
      <c r="A296" t="str">
        <f>T("   720429")</f>
        <v xml:space="preserve">   720429</v>
      </c>
      <c r="B296"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96">
        <v>2500000</v>
      </c>
      <c r="D296">
        <v>50000</v>
      </c>
    </row>
    <row r="297" spans="1:4" x14ac:dyDescent="0.25">
      <c r="A297" t="str">
        <f>T("CU")</f>
        <v>CU</v>
      </c>
      <c r="B297" t="str">
        <f>T("Cuba")</f>
        <v>Cuba</v>
      </c>
    </row>
    <row r="298" spans="1:4" x14ac:dyDescent="0.25">
      <c r="A298" t="str">
        <f>T("   ZZ_Total_Produit_SH6")</f>
        <v xml:space="preserve">   ZZ_Total_Produit_SH6</v>
      </c>
      <c r="B298" t="str">
        <f>T("   ZZ_Total_Produit_SH6")</f>
        <v xml:space="preserve">   ZZ_Total_Produit_SH6</v>
      </c>
      <c r="C298">
        <v>1057227</v>
      </c>
      <c r="D298">
        <v>200</v>
      </c>
    </row>
    <row r="299" spans="1:4" x14ac:dyDescent="0.25">
      <c r="A299" t="str">
        <f>T("   010620")</f>
        <v xml:space="preserve">   010620</v>
      </c>
      <c r="B299" t="str">
        <f>T("   Reptiles [p.ex. serpents, tortues, alligators, caïmans, iguanes, gavials et lézards], vivants")</f>
        <v xml:space="preserve">   Reptiles [p.ex. serpents, tortues, alligators, caïmans, iguanes, gavials et lézards], vivants</v>
      </c>
      <c r="C299">
        <v>1057227</v>
      </c>
      <c r="D299">
        <v>200</v>
      </c>
    </row>
    <row r="300" spans="1:4" x14ac:dyDescent="0.25">
      <c r="A300" t="str">
        <f>T("DE")</f>
        <v>DE</v>
      </c>
      <c r="B300" t="str">
        <f>T("Allemagne")</f>
        <v>Allemagne</v>
      </c>
    </row>
    <row r="301" spans="1:4" x14ac:dyDescent="0.25">
      <c r="A301" t="str">
        <f>T("   ZZ_Total_Produit_SH6")</f>
        <v xml:space="preserve">   ZZ_Total_Produit_SH6</v>
      </c>
      <c r="B301" t="str">
        <f>T("   ZZ_Total_Produit_SH6")</f>
        <v xml:space="preserve">   ZZ_Total_Produit_SH6</v>
      </c>
      <c r="C301">
        <v>114313543</v>
      </c>
      <c r="D301">
        <v>238754</v>
      </c>
    </row>
    <row r="302" spans="1:4" x14ac:dyDescent="0.25">
      <c r="A302" t="str">
        <f>T("   230610")</f>
        <v xml:space="preserve">   230610</v>
      </c>
      <c r="B302"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302">
        <v>13387800</v>
      </c>
      <c r="D302">
        <v>92439</v>
      </c>
    </row>
    <row r="303" spans="1:4" x14ac:dyDescent="0.25">
      <c r="A303" t="str">
        <f>T("   440399")</f>
        <v xml:space="preserve">   440399</v>
      </c>
      <c r="B303" t="s">
        <v>47</v>
      </c>
      <c r="C303">
        <v>500000</v>
      </c>
      <c r="D303">
        <v>10000</v>
      </c>
    </row>
    <row r="304" spans="1:4" x14ac:dyDescent="0.25">
      <c r="A304" t="str">
        <f>T("   440729")</f>
        <v xml:space="preserve">   440729</v>
      </c>
      <c r="B304" t="s">
        <v>48</v>
      </c>
      <c r="C304">
        <v>15993395</v>
      </c>
      <c r="D304">
        <v>45000</v>
      </c>
    </row>
    <row r="305" spans="1:4" x14ac:dyDescent="0.25">
      <c r="A305" t="str">
        <f>T("   460210")</f>
        <v xml:space="preserve">   460210</v>
      </c>
      <c r="B305" t="s">
        <v>52</v>
      </c>
      <c r="C305">
        <v>500000</v>
      </c>
      <c r="D305">
        <v>10000</v>
      </c>
    </row>
    <row r="306" spans="1:4" x14ac:dyDescent="0.25">
      <c r="A306" t="str">
        <f>T("   490199")</f>
        <v xml:space="preserve">   490199</v>
      </c>
      <c r="B30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06">
        <v>500000</v>
      </c>
      <c r="D306">
        <v>10000</v>
      </c>
    </row>
    <row r="307" spans="1:4" x14ac:dyDescent="0.25">
      <c r="A307" t="str">
        <f>T("   620590")</f>
        <v xml:space="preserve">   620590</v>
      </c>
      <c r="B30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07">
        <v>1800000</v>
      </c>
      <c r="D307">
        <v>2250</v>
      </c>
    </row>
    <row r="308" spans="1:4" x14ac:dyDescent="0.25">
      <c r="A308" t="str">
        <f>T("   621490")</f>
        <v xml:space="preserve">   621490</v>
      </c>
      <c r="B308"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308">
        <v>1200000</v>
      </c>
      <c r="D308">
        <v>800</v>
      </c>
    </row>
    <row r="309" spans="1:4" x14ac:dyDescent="0.25">
      <c r="A309" t="str">
        <f>T("   720429")</f>
        <v xml:space="preserve">   720429</v>
      </c>
      <c r="B309"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309">
        <v>1500000</v>
      </c>
      <c r="D309">
        <v>30000</v>
      </c>
    </row>
    <row r="310" spans="1:4" x14ac:dyDescent="0.25">
      <c r="A310" t="str">
        <f>T("   732394")</f>
        <v xml:space="preserve">   732394</v>
      </c>
      <c r="B310" t="s">
        <v>82</v>
      </c>
      <c r="C310">
        <v>1100000</v>
      </c>
      <c r="D310">
        <v>1550</v>
      </c>
    </row>
    <row r="311" spans="1:4" x14ac:dyDescent="0.25">
      <c r="A311" t="str">
        <f>T("   841430")</f>
        <v xml:space="preserve">   841430</v>
      </c>
      <c r="B311" t="str">
        <f>T("   Compresseurs des types utilisés pour équipements frigorifiques")</f>
        <v xml:space="preserve">   Compresseurs des types utilisés pour équipements frigorifiques</v>
      </c>
      <c r="C311">
        <v>2119682</v>
      </c>
      <c r="D311">
        <v>65</v>
      </c>
    </row>
    <row r="312" spans="1:4" x14ac:dyDescent="0.25">
      <c r="A312" t="str">
        <f>T("   843290")</f>
        <v xml:space="preserve">   843290</v>
      </c>
      <c r="B312"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312">
        <v>4525000</v>
      </c>
      <c r="D312">
        <v>15000</v>
      </c>
    </row>
    <row r="313" spans="1:4" x14ac:dyDescent="0.25">
      <c r="A313" t="str">
        <f>T("   870590")</f>
        <v xml:space="preserve">   870590</v>
      </c>
      <c r="B313" t="s">
        <v>112</v>
      </c>
      <c r="C313">
        <v>60837666</v>
      </c>
      <c r="D313">
        <v>6150</v>
      </c>
    </row>
    <row r="314" spans="1:4" x14ac:dyDescent="0.25">
      <c r="A314" t="str">
        <f>T("   940350")</f>
        <v xml:space="preserve">   940350</v>
      </c>
      <c r="B314" t="str">
        <f>T("   Meubles pour chambres à coucher, en bois (sauf sièges)")</f>
        <v xml:space="preserve">   Meubles pour chambres à coucher, en bois (sauf sièges)</v>
      </c>
      <c r="C314">
        <v>5600000</v>
      </c>
      <c r="D314">
        <v>10000</v>
      </c>
    </row>
    <row r="315" spans="1:4" x14ac:dyDescent="0.25">
      <c r="A315" t="str">
        <f>T("   940360")</f>
        <v xml:space="preserve">   940360</v>
      </c>
      <c r="B315" t="str">
        <f>T("   Meubles en bois (autres que pour bureaux, cuisines ou chambres à coucher et autres que sièges)")</f>
        <v xml:space="preserve">   Meubles en bois (autres que pour bureaux, cuisines ou chambres à coucher et autres que sièges)</v>
      </c>
      <c r="C315">
        <v>4750000</v>
      </c>
      <c r="D315">
        <v>5500</v>
      </c>
    </row>
    <row r="316" spans="1:4" x14ac:dyDescent="0.25">
      <c r="A316" t="str">
        <f>T("DJ")</f>
        <v>DJ</v>
      </c>
      <c r="B316" t="str">
        <f>T("Djibouti")</f>
        <v>Djibouti</v>
      </c>
    </row>
    <row r="317" spans="1:4" x14ac:dyDescent="0.25">
      <c r="A317" t="str">
        <f>T("   ZZ_Total_Produit_SH6")</f>
        <v xml:space="preserve">   ZZ_Total_Produit_SH6</v>
      </c>
      <c r="B317" t="str">
        <f>T("   ZZ_Total_Produit_SH6")</f>
        <v xml:space="preserve">   ZZ_Total_Produit_SH6</v>
      </c>
      <c r="C317">
        <v>2500000</v>
      </c>
      <c r="D317">
        <v>3119</v>
      </c>
    </row>
    <row r="318" spans="1:4" x14ac:dyDescent="0.25">
      <c r="A318" t="str">
        <f>T("   490199")</f>
        <v xml:space="preserve">   490199</v>
      </c>
      <c r="B31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18">
        <v>2500000</v>
      </c>
      <c r="D318">
        <v>3119</v>
      </c>
    </row>
    <row r="319" spans="1:4" x14ac:dyDescent="0.25">
      <c r="A319" t="str">
        <f>T("DK")</f>
        <v>DK</v>
      </c>
      <c r="B319" t="str">
        <f>T("Danemark")</f>
        <v>Danemark</v>
      </c>
    </row>
    <row r="320" spans="1:4" x14ac:dyDescent="0.25">
      <c r="A320" t="str">
        <f>T("   ZZ_Total_Produit_SH6")</f>
        <v xml:space="preserve">   ZZ_Total_Produit_SH6</v>
      </c>
      <c r="B320" t="str">
        <f>T("   ZZ_Total_Produit_SH6")</f>
        <v xml:space="preserve">   ZZ_Total_Produit_SH6</v>
      </c>
      <c r="C320">
        <v>3542190713</v>
      </c>
      <c r="D320">
        <v>17953800</v>
      </c>
    </row>
    <row r="321" spans="1:4" x14ac:dyDescent="0.25">
      <c r="A321" t="str">
        <f>T("   080211")</f>
        <v xml:space="preserve">   080211</v>
      </c>
      <c r="B321" t="str">
        <f>T("   Amandes, fraîches ou sèches, en coques")</f>
        <v xml:space="preserve">   Amandes, fraîches ou sèches, en coques</v>
      </c>
      <c r="C321">
        <v>3534420713</v>
      </c>
      <c r="D321">
        <v>17922000</v>
      </c>
    </row>
    <row r="322" spans="1:4" x14ac:dyDescent="0.25">
      <c r="A322" t="str">
        <f>T("   440799")</f>
        <v xml:space="preserve">   440799</v>
      </c>
      <c r="B322" t="s">
        <v>49</v>
      </c>
      <c r="C322">
        <v>500000</v>
      </c>
      <c r="D322">
        <v>21800</v>
      </c>
    </row>
    <row r="323" spans="1:4" x14ac:dyDescent="0.25">
      <c r="A323" t="str">
        <f>T("   620590")</f>
        <v xml:space="preserve">   620590</v>
      </c>
      <c r="B32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23">
        <v>300000</v>
      </c>
      <c r="D323">
        <v>200</v>
      </c>
    </row>
    <row r="324" spans="1:4" x14ac:dyDescent="0.25">
      <c r="A324" t="str">
        <f>T("   732394")</f>
        <v xml:space="preserve">   732394</v>
      </c>
      <c r="B324" t="s">
        <v>82</v>
      </c>
      <c r="C324">
        <v>400000</v>
      </c>
      <c r="D324">
        <v>400</v>
      </c>
    </row>
    <row r="325" spans="1:4" x14ac:dyDescent="0.25">
      <c r="A325" t="str">
        <f>T("   870322")</f>
        <v xml:space="preserve">   870322</v>
      </c>
      <c r="B325" t="s">
        <v>103</v>
      </c>
      <c r="C325">
        <v>1300000</v>
      </c>
      <c r="D325">
        <v>1200</v>
      </c>
    </row>
    <row r="326" spans="1:4" x14ac:dyDescent="0.25">
      <c r="A326" t="str">
        <f>T("   940350")</f>
        <v xml:space="preserve">   940350</v>
      </c>
      <c r="B326" t="str">
        <f>T("   Meubles pour chambres à coucher, en bois (sauf sièges)")</f>
        <v xml:space="preserve">   Meubles pour chambres à coucher, en bois (sauf sièges)</v>
      </c>
      <c r="C326">
        <v>800000</v>
      </c>
      <c r="D326">
        <v>900</v>
      </c>
    </row>
    <row r="327" spans="1:4" x14ac:dyDescent="0.25">
      <c r="A327" t="str">
        <f>T("   940360")</f>
        <v xml:space="preserve">   940360</v>
      </c>
      <c r="B327" t="str">
        <f>T("   Meubles en bois (autres que pour bureaux, cuisines ou chambres à coucher et autres que sièges)")</f>
        <v xml:space="preserve">   Meubles en bois (autres que pour bureaux, cuisines ou chambres à coucher et autres que sièges)</v>
      </c>
      <c r="C327">
        <v>1470000</v>
      </c>
      <c r="D327">
        <v>3800</v>
      </c>
    </row>
    <row r="328" spans="1:4" x14ac:dyDescent="0.25">
      <c r="A328" t="str">
        <f>T("   940380")</f>
        <v xml:space="preserve">   940380</v>
      </c>
      <c r="B328" t="str">
        <f>T("   Meubles en rotin, osier, bambou ou autres matières (sauf métal, bois et matières plastiques)")</f>
        <v xml:space="preserve">   Meubles en rotin, osier, bambou ou autres matières (sauf métal, bois et matières plastiques)</v>
      </c>
      <c r="C328">
        <v>3000000</v>
      </c>
      <c r="D328">
        <v>3500</v>
      </c>
    </row>
    <row r="329" spans="1:4" x14ac:dyDescent="0.25">
      <c r="A329" t="str">
        <f>T("EC")</f>
        <v>EC</v>
      </c>
      <c r="B329" t="str">
        <f>T("Equateur")</f>
        <v>Equateur</v>
      </c>
    </row>
    <row r="330" spans="1:4" x14ac:dyDescent="0.25">
      <c r="A330" t="str">
        <f>T("   ZZ_Total_Produit_SH6")</f>
        <v xml:space="preserve">   ZZ_Total_Produit_SH6</v>
      </c>
      <c r="B330" t="str">
        <f>T("   ZZ_Total_Produit_SH6")</f>
        <v xml:space="preserve">   ZZ_Total_Produit_SH6</v>
      </c>
      <c r="C330">
        <v>90000</v>
      </c>
      <c r="D330">
        <v>223.75</v>
      </c>
    </row>
    <row r="331" spans="1:4" x14ac:dyDescent="0.25">
      <c r="A331" t="str">
        <f>T("   120710")</f>
        <v xml:space="preserve">   120710</v>
      </c>
      <c r="B331" t="str">
        <f>T("   NOIX ET AMANDES DE PALMISTES")</f>
        <v xml:space="preserve">   NOIX ET AMANDES DE PALMISTES</v>
      </c>
      <c r="C331">
        <v>90000</v>
      </c>
      <c r="D331">
        <v>223.75</v>
      </c>
    </row>
    <row r="332" spans="1:4" x14ac:dyDescent="0.25">
      <c r="A332" t="str">
        <f>T("EG")</f>
        <v>EG</v>
      </c>
      <c r="B332" t="str">
        <f>T("Egypte")</f>
        <v>Egypte</v>
      </c>
    </row>
    <row r="333" spans="1:4" x14ac:dyDescent="0.25">
      <c r="A333" t="str">
        <f>T("   ZZ_Total_Produit_SH6")</f>
        <v xml:space="preserve">   ZZ_Total_Produit_SH6</v>
      </c>
      <c r="B333" t="str">
        <f>T("   ZZ_Total_Produit_SH6")</f>
        <v xml:space="preserve">   ZZ_Total_Produit_SH6</v>
      </c>
      <c r="C333">
        <v>468487885</v>
      </c>
      <c r="D333">
        <v>366004</v>
      </c>
    </row>
    <row r="334" spans="1:4" x14ac:dyDescent="0.25">
      <c r="A334" t="str">
        <f>T("   520100")</f>
        <v xml:space="preserve">   520100</v>
      </c>
      <c r="B334" t="str">
        <f>T("   COTON, NON-CARDÉ NI PEIGNÉ")</f>
        <v xml:space="preserve">   COTON, NON-CARDÉ NI PEIGNÉ</v>
      </c>
      <c r="C334">
        <v>468487885</v>
      </c>
      <c r="D334">
        <v>366004</v>
      </c>
    </row>
    <row r="335" spans="1:4" x14ac:dyDescent="0.25">
      <c r="A335" t="str">
        <f>T("ES")</f>
        <v>ES</v>
      </c>
      <c r="B335" t="str">
        <f>T("Espagne")</f>
        <v>Espagne</v>
      </c>
    </row>
    <row r="336" spans="1:4" x14ac:dyDescent="0.25">
      <c r="A336" t="str">
        <f>T("   ZZ_Total_Produit_SH6")</f>
        <v xml:space="preserve">   ZZ_Total_Produit_SH6</v>
      </c>
      <c r="B336" t="str">
        <f>T("   ZZ_Total_Produit_SH6")</f>
        <v xml:space="preserve">   ZZ_Total_Produit_SH6</v>
      </c>
      <c r="C336">
        <v>388493088</v>
      </c>
      <c r="D336">
        <v>1856536</v>
      </c>
    </row>
    <row r="337" spans="1:4" x14ac:dyDescent="0.25">
      <c r="A337" t="str">
        <f>T("   080450")</f>
        <v xml:space="preserve">   080450</v>
      </c>
      <c r="B337" t="str">
        <f>T("   Goyaves, mangues et mangoustans, frais ou secs")</f>
        <v xml:space="preserve">   Goyaves, mangues et mangoustans, frais ou secs</v>
      </c>
      <c r="C337">
        <v>3611456</v>
      </c>
      <c r="D337">
        <v>34600</v>
      </c>
    </row>
    <row r="338" spans="1:4" x14ac:dyDescent="0.25">
      <c r="A338" t="str">
        <f>T("   081190")</f>
        <v xml:space="preserve">   081190</v>
      </c>
      <c r="B338" t="s">
        <v>16</v>
      </c>
      <c r="C338">
        <v>7363807</v>
      </c>
      <c r="D338">
        <v>12015</v>
      </c>
    </row>
    <row r="339" spans="1:4" x14ac:dyDescent="0.25">
      <c r="A339" t="str">
        <f>T("   120799")</f>
        <v xml:space="preserve">   120799</v>
      </c>
      <c r="B339" t="s">
        <v>20</v>
      </c>
      <c r="C339">
        <v>190400000</v>
      </c>
      <c r="D339">
        <v>880000</v>
      </c>
    </row>
    <row r="340" spans="1:4" x14ac:dyDescent="0.25">
      <c r="A340" t="str">
        <f>T("   121299")</f>
        <v xml:space="preserve">   121299</v>
      </c>
      <c r="B340" t="str">
        <f>T("   NOYAUX ET AMANDES DE FRUITS ET AUTRES PRODUITS VÉGÉTAUX - Y.C. LES RACINES DE CHICORÉE NON-TORRÉFIÉES DE LA VARIÉTÉ 'CICHORIUM INTYBUS SATIVUM' -, SERVANT PRINCIPALEMENT À L'ALIMENTATION HUMAINE, N.D.A.")</f>
        <v xml:space="preserve">   NOYAUX ET AMANDES DE FRUITS ET AUTRES PRODUITS VÉGÉTAUX - Y.C. LES RACINES DE CHICORÉE NON-TORRÉFIÉES DE LA VARIÉTÉ 'CICHORIUM INTYBUS SATIVUM' -, SERVANT PRINCIPALEMENT À L'ALIMENTATION HUMAINE, N.D.A.</v>
      </c>
      <c r="C340">
        <v>156146628</v>
      </c>
      <c r="D340">
        <v>810820</v>
      </c>
    </row>
    <row r="341" spans="1:4" x14ac:dyDescent="0.25">
      <c r="A341" t="str">
        <f>T("   140490")</f>
        <v xml:space="preserve">   140490</v>
      </c>
      <c r="B341" t="str">
        <f>T("   Produits végétaux, n.d.a.")</f>
        <v xml:space="preserve">   Produits végétaux, n.d.a.</v>
      </c>
      <c r="C341">
        <v>3521193</v>
      </c>
      <c r="D341">
        <v>5250</v>
      </c>
    </row>
    <row r="342" spans="1:4" x14ac:dyDescent="0.25">
      <c r="A342" t="str">
        <f>T("   410692")</f>
        <v xml:space="preserve">   410692</v>
      </c>
      <c r="B342" t="s">
        <v>44</v>
      </c>
      <c r="C342">
        <v>10000000</v>
      </c>
      <c r="D342">
        <v>8851</v>
      </c>
    </row>
    <row r="343" spans="1:4" x14ac:dyDescent="0.25">
      <c r="A343" t="str">
        <f>T("   440399")</f>
        <v xml:space="preserve">   440399</v>
      </c>
      <c r="B343" t="s">
        <v>47</v>
      </c>
      <c r="C343">
        <v>1000000</v>
      </c>
      <c r="D343">
        <v>20000</v>
      </c>
    </row>
    <row r="344" spans="1:4" x14ac:dyDescent="0.25">
      <c r="A344" t="str">
        <f>T("   440729")</f>
        <v xml:space="preserve">   440729</v>
      </c>
      <c r="B344" t="s">
        <v>48</v>
      </c>
      <c r="C344">
        <v>12700004</v>
      </c>
      <c r="D344">
        <v>10000</v>
      </c>
    </row>
    <row r="345" spans="1:4" x14ac:dyDescent="0.25">
      <c r="A345" t="str">
        <f>T("   440799")</f>
        <v xml:space="preserve">   440799</v>
      </c>
      <c r="B345" t="s">
        <v>49</v>
      </c>
      <c r="C345">
        <v>750000</v>
      </c>
      <c r="D345">
        <v>15000</v>
      </c>
    </row>
    <row r="346" spans="1:4" x14ac:dyDescent="0.25">
      <c r="A346" t="str">
        <f>T("   720429")</f>
        <v xml:space="preserve">   720429</v>
      </c>
      <c r="B346"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346">
        <v>500000</v>
      </c>
      <c r="D346">
        <v>10000</v>
      </c>
    </row>
    <row r="347" spans="1:4" x14ac:dyDescent="0.25">
      <c r="A347" t="str">
        <f>T("   720430")</f>
        <v xml:space="preserve">   720430</v>
      </c>
      <c r="B347"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347">
        <v>2500000</v>
      </c>
      <c r="D347">
        <v>50000</v>
      </c>
    </row>
    <row r="348" spans="1:4" x14ac:dyDescent="0.25">
      <c r="A348" t="str">
        <f>T("ET")</f>
        <v>ET</v>
      </c>
      <c r="B348" t="str">
        <f>T("Ethiopie")</f>
        <v>Ethiopie</v>
      </c>
    </row>
    <row r="349" spans="1:4" x14ac:dyDescent="0.25">
      <c r="A349" t="str">
        <f>T("   ZZ_Total_Produit_SH6")</f>
        <v xml:space="preserve">   ZZ_Total_Produit_SH6</v>
      </c>
      <c r="B349" t="str">
        <f>T("   ZZ_Total_Produit_SH6")</f>
        <v xml:space="preserve">   ZZ_Total_Produit_SH6</v>
      </c>
      <c r="C349">
        <v>2000000</v>
      </c>
      <c r="D349">
        <v>7000</v>
      </c>
    </row>
    <row r="350" spans="1:4" x14ac:dyDescent="0.25">
      <c r="A350" t="str">
        <f>T("   620590")</f>
        <v xml:space="preserve">   620590</v>
      </c>
      <c r="B35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50">
        <v>400000</v>
      </c>
      <c r="D350">
        <v>500</v>
      </c>
    </row>
    <row r="351" spans="1:4" x14ac:dyDescent="0.25">
      <c r="A351" t="str">
        <f>T("   732394")</f>
        <v xml:space="preserve">   732394</v>
      </c>
      <c r="B351" t="s">
        <v>82</v>
      </c>
      <c r="C351">
        <v>300000</v>
      </c>
      <c r="D351">
        <v>300</v>
      </c>
    </row>
    <row r="352" spans="1:4" x14ac:dyDescent="0.25">
      <c r="A352" t="str">
        <f>T("   940350")</f>
        <v xml:space="preserve">   940350</v>
      </c>
      <c r="B352" t="str">
        <f>T("   Meubles pour chambres à coucher, en bois (sauf sièges)")</f>
        <v xml:space="preserve">   Meubles pour chambres à coucher, en bois (sauf sièges)</v>
      </c>
      <c r="C352">
        <v>800000</v>
      </c>
      <c r="D352">
        <v>1200</v>
      </c>
    </row>
    <row r="353" spans="1:4" x14ac:dyDescent="0.25">
      <c r="A353" t="str">
        <f>T("   940380")</f>
        <v xml:space="preserve">   940380</v>
      </c>
      <c r="B353" t="str">
        <f>T("   Meubles en rotin, osier, bambou ou autres matières (sauf métal, bois et matières plastiques)")</f>
        <v xml:space="preserve">   Meubles en rotin, osier, bambou ou autres matières (sauf métal, bois et matières plastiques)</v>
      </c>
      <c r="C353">
        <v>500000</v>
      </c>
      <c r="D353">
        <v>5000</v>
      </c>
    </row>
    <row r="354" spans="1:4" x14ac:dyDescent="0.25">
      <c r="A354" t="str">
        <f>T("FI")</f>
        <v>FI</v>
      </c>
      <c r="B354" t="str">
        <f>T("Finlande")</f>
        <v>Finlande</v>
      </c>
    </row>
    <row r="355" spans="1:4" x14ac:dyDescent="0.25">
      <c r="A355" t="str">
        <f>T("   ZZ_Total_Produit_SH6")</f>
        <v xml:space="preserve">   ZZ_Total_Produit_SH6</v>
      </c>
      <c r="B355" t="str">
        <f>T("   ZZ_Total_Produit_SH6")</f>
        <v xml:space="preserve">   ZZ_Total_Produit_SH6</v>
      </c>
      <c r="C355">
        <v>1768801500</v>
      </c>
      <c r="D355">
        <v>5000000</v>
      </c>
    </row>
    <row r="356" spans="1:4" x14ac:dyDescent="0.25">
      <c r="A356" t="str">
        <f>T("   170199")</f>
        <v xml:space="preserve">   170199</v>
      </c>
      <c r="B356"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56">
        <v>1768801500</v>
      </c>
      <c r="D356">
        <v>5000000</v>
      </c>
    </row>
    <row r="357" spans="1:4" x14ac:dyDescent="0.25">
      <c r="A357" t="str">
        <f>T("FR")</f>
        <v>FR</v>
      </c>
      <c r="B357" t="str">
        <f>T("France")</f>
        <v>France</v>
      </c>
    </row>
    <row r="358" spans="1:4" x14ac:dyDescent="0.25">
      <c r="A358" t="str">
        <f>T("   ZZ_Total_Produit_SH6")</f>
        <v xml:space="preserve">   ZZ_Total_Produit_SH6</v>
      </c>
      <c r="B358" t="str">
        <f>T("   ZZ_Total_Produit_SH6")</f>
        <v xml:space="preserve">   ZZ_Total_Produit_SH6</v>
      </c>
      <c r="C358">
        <v>1421386557</v>
      </c>
      <c r="D358">
        <v>1430152</v>
      </c>
    </row>
    <row r="359" spans="1:4" x14ac:dyDescent="0.25">
      <c r="A359" t="str">
        <f>T("   040900")</f>
        <v xml:space="preserve">   040900</v>
      </c>
      <c r="B359" t="str">
        <f>T("   Miel naturel")</f>
        <v xml:space="preserve">   Miel naturel</v>
      </c>
      <c r="C359">
        <v>39358</v>
      </c>
      <c r="D359">
        <v>30</v>
      </c>
    </row>
    <row r="360" spans="1:4" x14ac:dyDescent="0.25">
      <c r="A360" t="str">
        <f>T("   050900")</f>
        <v xml:space="preserve">   050900</v>
      </c>
      <c r="B360" t="str">
        <f>T("   ÉPONGES NATURELLES D'ORIGINE ANIMALE")</f>
        <v xml:space="preserve">   ÉPONGES NATURELLES D'ORIGINE ANIMALE</v>
      </c>
      <c r="C360">
        <v>557700</v>
      </c>
      <c r="D360">
        <v>40</v>
      </c>
    </row>
    <row r="361" spans="1:4" x14ac:dyDescent="0.25">
      <c r="A361" t="str">
        <f>T("   071390")</f>
        <v xml:space="preserve">   071390</v>
      </c>
      <c r="B361"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361">
        <v>44720</v>
      </c>
      <c r="D361">
        <v>188</v>
      </c>
    </row>
    <row r="362" spans="1:4" x14ac:dyDescent="0.25">
      <c r="A362" t="str">
        <f>T("   080430")</f>
        <v xml:space="preserve">   080430</v>
      </c>
      <c r="B362" t="str">
        <f>T("   Ananas, frais ou secs")</f>
        <v xml:space="preserve">   Ananas, frais ou secs</v>
      </c>
      <c r="C362">
        <v>490000</v>
      </c>
      <c r="D362">
        <v>980</v>
      </c>
    </row>
    <row r="363" spans="1:4" x14ac:dyDescent="0.25">
      <c r="A363" t="str">
        <f>T("   091010")</f>
        <v xml:space="preserve">   091010</v>
      </c>
      <c r="B363" t="str">
        <f>T("   Gingembre")</f>
        <v xml:space="preserve">   Gingembre</v>
      </c>
      <c r="C363">
        <v>922990</v>
      </c>
      <c r="D363">
        <v>10380</v>
      </c>
    </row>
    <row r="364" spans="1:4" x14ac:dyDescent="0.25">
      <c r="A364" t="str">
        <f>T("   110620")</f>
        <v xml:space="preserve">   110620</v>
      </c>
      <c r="B364" t="str">
        <f>T("   Farines, semoules et poudres de sagou ou des racines ou tubercules du n° 0714")</f>
        <v xml:space="preserve">   Farines, semoules et poudres de sagou ou des racines ou tubercules du n° 0714</v>
      </c>
      <c r="C364">
        <v>8083315</v>
      </c>
      <c r="D364">
        <v>40280</v>
      </c>
    </row>
    <row r="365" spans="1:4" x14ac:dyDescent="0.25">
      <c r="A365" t="str">
        <f>T("   120710")</f>
        <v xml:space="preserve">   120710</v>
      </c>
      <c r="B365" t="str">
        <f>T("   NOIX ET AMANDES DE PALMISTES")</f>
        <v xml:space="preserve">   NOIX ET AMANDES DE PALMISTES</v>
      </c>
      <c r="C365">
        <v>62971872</v>
      </c>
      <c r="D365">
        <v>1360</v>
      </c>
    </row>
    <row r="366" spans="1:4" x14ac:dyDescent="0.25">
      <c r="A366" t="str">
        <f>T("   121190")</f>
        <v xml:space="preserve">   121190</v>
      </c>
      <c r="B366" t="s">
        <v>21</v>
      </c>
      <c r="C366">
        <v>65596</v>
      </c>
      <c r="D366">
        <v>5</v>
      </c>
    </row>
    <row r="367" spans="1:4" x14ac:dyDescent="0.25">
      <c r="A367" t="str">
        <f>T("   130120")</f>
        <v xml:space="preserve">   130120</v>
      </c>
      <c r="B367" t="str">
        <f>T("   Gomme arabique")</f>
        <v xml:space="preserve">   Gomme arabique</v>
      </c>
      <c r="C367">
        <v>4400000</v>
      </c>
      <c r="D367">
        <v>22000</v>
      </c>
    </row>
    <row r="368" spans="1:4" x14ac:dyDescent="0.25">
      <c r="A368" t="str">
        <f>T("   140490")</f>
        <v xml:space="preserve">   140490</v>
      </c>
      <c r="B368" t="str">
        <f>T("   Produits végétaux, n.d.a.")</f>
        <v xml:space="preserve">   Produits végétaux, n.d.a.</v>
      </c>
      <c r="C368">
        <v>73468</v>
      </c>
      <c r="D368">
        <v>224</v>
      </c>
    </row>
    <row r="369" spans="1:4" x14ac:dyDescent="0.25">
      <c r="A369" t="str">
        <f>T("   151590")</f>
        <v xml:space="preserve">   151590</v>
      </c>
      <c r="B369" t="s">
        <v>22</v>
      </c>
      <c r="C369">
        <v>17884771</v>
      </c>
      <c r="D369">
        <v>12704</v>
      </c>
    </row>
    <row r="370" spans="1:4" x14ac:dyDescent="0.25">
      <c r="A370" t="str">
        <f>T("   151620")</f>
        <v xml:space="preserve">   151620</v>
      </c>
      <c r="B370"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370">
        <v>49197</v>
      </c>
      <c r="D370">
        <v>5</v>
      </c>
    </row>
    <row r="371" spans="1:4" x14ac:dyDescent="0.25">
      <c r="A371" t="str">
        <f>T("   190230")</f>
        <v xml:space="preserve">   190230</v>
      </c>
      <c r="B371" t="str">
        <f>T("   Pâtes alimentaires, cuites ou autrement préparées (à l'excl. des pâtes alimentaires farcies)")</f>
        <v xml:space="preserve">   Pâtes alimentaires, cuites ou autrement préparées (à l'excl. des pâtes alimentaires farcies)</v>
      </c>
      <c r="C371">
        <v>338075000</v>
      </c>
      <c r="D371">
        <v>750470</v>
      </c>
    </row>
    <row r="372" spans="1:4" x14ac:dyDescent="0.25">
      <c r="A372" t="str">
        <f>T("   380840")</f>
        <v xml:space="preserve">   380840</v>
      </c>
      <c r="B372"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372">
        <v>49854192</v>
      </c>
      <c r="D372">
        <v>22800</v>
      </c>
    </row>
    <row r="373" spans="1:4" x14ac:dyDescent="0.25">
      <c r="A373" t="str">
        <f>T("   392329")</f>
        <v xml:space="preserve">   392329</v>
      </c>
      <c r="B373" t="str">
        <f>T("   Sacs, sachets, pochettes et cornets, en matières plastiques (autres que les polymères de l'éthylène)")</f>
        <v xml:space="preserve">   Sacs, sachets, pochettes et cornets, en matières plastiques (autres que les polymères de l'éthylène)</v>
      </c>
      <c r="C373">
        <v>13345506</v>
      </c>
      <c r="D373">
        <v>18</v>
      </c>
    </row>
    <row r="374" spans="1:4" x14ac:dyDescent="0.25">
      <c r="A374" t="str">
        <f>T("   420299")</f>
        <v xml:space="preserve">   420299</v>
      </c>
      <c r="B374" t="s">
        <v>45</v>
      </c>
      <c r="C374">
        <v>98394</v>
      </c>
      <c r="D374">
        <v>100</v>
      </c>
    </row>
    <row r="375" spans="1:4" x14ac:dyDescent="0.25">
      <c r="A375" t="str">
        <f>T("   440729")</f>
        <v xml:space="preserve">   440729</v>
      </c>
      <c r="B375" t="s">
        <v>48</v>
      </c>
      <c r="C375">
        <v>11308056</v>
      </c>
      <c r="D375">
        <v>10000</v>
      </c>
    </row>
    <row r="376" spans="1:4" x14ac:dyDescent="0.25">
      <c r="A376" t="str">
        <f>T("   442010")</f>
        <v xml:space="preserve">   442010</v>
      </c>
      <c r="B376" t="str">
        <f>T("   Statuettes et autres objets d'ornement, en bois (autres que marquetés ou incrustés)")</f>
        <v xml:space="preserve">   Statuettes et autres objets d'ornement, en bois (autres que marquetés ou incrustés)</v>
      </c>
      <c r="C376">
        <v>150000</v>
      </c>
      <c r="D376">
        <v>92</v>
      </c>
    </row>
    <row r="377" spans="1:4" x14ac:dyDescent="0.25">
      <c r="A377" t="str">
        <f>T("   481940")</f>
        <v xml:space="preserve">   481940</v>
      </c>
      <c r="B377"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377">
        <v>3712734</v>
      </c>
      <c r="D377">
        <v>105</v>
      </c>
    </row>
    <row r="378" spans="1:4" x14ac:dyDescent="0.25">
      <c r="A378" t="str">
        <f>T("   490700")</f>
        <v xml:space="preserve">   490700</v>
      </c>
      <c r="B378" t="s">
        <v>54</v>
      </c>
      <c r="C378">
        <v>93200000</v>
      </c>
      <c r="D378">
        <v>44630</v>
      </c>
    </row>
    <row r="379" spans="1:4" x14ac:dyDescent="0.25">
      <c r="A379" t="str">
        <f>T("   520100")</f>
        <v xml:space="preserve">   520100</v>
      </c>
      <c r="B379" t="str">
        <f>T("   COTON, NON-CARDÉ NI PEIGNÉ")</f>
        <v xml:space="preserve">   COTON, NON-CARDÉ NI PEIGNÉ</v>
      </c>
      <c r="C379">
        <v>148705674</v>
      </c>
      <c r="D379">
        <v>118063</v>
      </c>
    </row>
    <row r="380" spans="1:4" x14ac:dyDescent="0.25">
      <c r="A380" t="str">
        <f>T("   521214")</f>
        <v xml:space="preserve">   521214</v>
      </c>
      <c r="B380"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380">
        <v>40000</v>
      </c>
      <c r="D380">
        <v>15</v>
      </c>
    </row>
    <row r="381" spans="1:4" x14ac:dyDescent="0.25">
      <c r="A381" t="str">
        <f>T("   610690")</f>
        <v xml:space="preserve">   610690</v>
      </c>
      <c r="B381"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381">
        <v>1207640</v>
      </c>
      <c r="D381">
        <v>955</v>
      </c>
    </row>
    <row r="382" spans="1:4" x14ac:dyDescent="0.25">
      <c r="A382" t="str">
        <f>T("   611490")</f>
        <v xml:space="preserve">   611490</v>
      </c>
      <c r="B382"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382">
        <v>10729395</v>
      </c>
      <c r="D382">
        <v>3900</v>
      </c>
    </row>
    <row r="383" spans="1:4" x14ac:dyDescent="0.25">
      <c r="A383" t="str">
        <f>T("   620319")</f>
        <v xml:space="preserve">   620319</v>
      </c>
      <c r="B383" t="s">
        <v>59</v>
      </c>
      <c r="C383">
        <v>1200000</v>
      </c>
      <c r="D383">
        <v>5000</v>
      </c>
    </row>
    <row r="384" spans="1:4" x14ac:dyDescent="0.25">
      <c r="A384" t="str">
        <f>T("   620349")</f>
        <v xml:space="preserve">   620349</v>
      </c>
      <c r="B384" t="s">
        <v>60</v>
      </c>
      <c r="C384">
        <v>700000</v>
      </c>
      <c r="D384">
        <v>10000</v>
      </c>
    </row>
    <row r="385" spans="1:4" x14ac:dyDescent="0.25">
      <c r="A385" t="str">
        <f>T("   620590")</f>
        <v xml:space="preserve">   620590</v>
      </c>
      <c r="B38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85">
        <v>2350000</v>
      </c>
      <c r="D385">
        <v>2750</v>
      </c>
    </row>
    <row r="386" spans="1:4" x14ac:dyDescent="0.25">
      <c r="A386" t="str">
        <f>T("   621020")</f>
        <v xml:space="preserve">   621020</v>
      </c>
      <c r="B386"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386">
        <v>685000</v>
      </c>
      <c r="D386">
        <v>261</v>
      </c>
    </row>
    <row r="387" spans="1:4" x14ac:dyDescent="0.25">
      <c r="A387" t="str">
        <f>T("   621050")</f>
        <v xml:space="preserve">   621050</v>
      </c>
      <c r="B387" t="s">
        <v>62</v>
      </c>
      <c r="C387">
        <v>555050</v>
      </c>
      <c r="D387">
        <v>290</v>
      </c>
    </row>
    <row r="388" spans="1:4" x14ac:dyDescent="0.25">
      <c r="A388" t="str">
        <f>T("   630720")</f>
        <v xml:space="preserve">   630720</v>
      </c>
      <c r="B388" t="str">
        <f>T("   Ceintures et gilets de sauvetage en tous types de matières textiles")</f>
        <v xml:space="preserve">   Ceintures et gilets de sauvetage en tous types de matières textiles</v>
      </c>
      <c r="C388">
        <v>1508052</v>
      </c>
      <c r="D388">
        <v>114</v>
      </c>
    </row>
    <row r="389" spans="1:4" x14ac:dyDescent="0.25">
      <c r="A389" t="str">
        <f>T("   640299")</f>
        <v xml:space="preserve">   640299</v>
      </c>
      <c r="B389" t="s">
        <v>65</v>
      </c>
      <c r="C389">
        <v>2625260</v>
      </c>
      <c r="D389">
        <v>1500</v>
      </c>
    </row>
    <row r="390" spans="1:4" x14ac:dyDescent="0.25">
      <c r="A390" t="str">
        <f>T("   660199")</f>
        <v xml:space="preserve">   660199</v>
      </c>
      <c r="B390"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390">
        <v>13500000</v>
      </c>
      <c r="D390">
        <v>1589</v>
      </c>
    </row>
    <row r="391" spans="1:4" x14ac:dyDescent="0.25">
      <c r="A391" t="str">
        <f>T("   680229")</f>
        <v xml:space="preserve">   680229</v>
      </c>
      <c r="B391" t="s">
        <v>68</v>
      </c>
      <c r="C391">
        <v>4243942</v>
      </c>
      <c r="D391">
        <v>15000</v>
      </c>
    </row>
    <row r="392" spans="1:4" x14ac:dyDescent="0.25">
      <c r="A392" t="str">
        <f>T("   720449")</f>
        <v xml:space="preserve">   720449</v>
      </c>
      <c r="B392" t="s">
        <v>75</v>
      </c>
      <c r="C392">
        <v>1700000</v>
      </c>
      <c r="D392">
        <v>17480</v>
      </c>
    </row>
    <row r="393" spans="1:4" x14ac:dyDescent="0.25">
      <c r="A393" t="str">
        <f>T("   730900")</f>
        <v xml:space="preserve">   730900</v>
      </c>
      <c r="B393" t="s">
        <v>79</v>
      </c>
      <c r="C393">
        <v>3300791</v>
      </c>
      <c r="D393">
        <v>250</v>
      </c>
    </row>
    <row r="394" spans="1:4" x14ac:dyDescent="0.25">
      <c r="A394" t="str">
        <f>T("   731100")</f>
        <v xml:space="preserve">   731100</v>
      </c>
      <c r="B394"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394">
        <v>1203031</v>
      </c>
      <c r="D394">
        <v>91</v>
      </c>
    </row>
    <row r="395" spans="1:4" x14ac:dyDescent="0.25">
      <c r="A395" t="str">
        <f>T("   732394")</f>
        <v xml:space="preserve">   732394</v>
      </c>
      <c r="B395" t="s">
        <v>82</v>
      </c>
      <c r="C395">
        <v>1950000</v>
      </c>
      <c r="D395">
        <v>2550</v>
      </c>
    </row>
    <row r="396" spans="1:4" x14ac:dyDescent="0.25">
      <c r="A396" t="str">
        <f>T("   732399")</f>
        <v xml:space="preserve">   732399</v>
      </c>
      <c r="B396" t="s">
        <v>83</v>
      </c>
      <c r="C396">
        <v>26390000</v>
      </c>
      <c r="D396">
        <v>25690</v>
      </c>
    </row>
    <row r="397" spans="1:4" x14ac:dyDescent="0.25">
      <c r="A397" t="str">
        <f>T("   732620")</f>
        <v xml:space="preserve">   732620</v>
      </c>
      <c r="B397" t="str">
        <f>T("   Ouvrages en fil de fer ou d'acier, n.d.a.")</f>
        <v xml:space="preserve">   Ouvrages en fil de fer ou d'acier, n.d.a.</v>
      </c>
      <c r="C397">
        <v>38444504</v>
      </c>
      <c r="D397">
        <v>48778</v>
      </c>
    </row>
    <row r="398" spans="1:4" x14ac:dyDescent="0.25">
      <c r="A398" t="str">
        <f>T("   741819")</f>
        <v xml:space="preserve">   741819</v>
      </c>
      <c r="B398" t="s">
        <v>85</v>
      </c>
      <c r="C398">
        <v>1311920</v>
      </c>
      <c r="D398">
        <v>150</v>
      </c>
    </row>
    <row r="399" spans="1:4" x14ac:dyDescent="0.25">
      <c r="A399" t="str">
        <f>T("   760421")</f>
        <v xml:space="preserve">   760421</v>
      </c>
      <c r="B399" t="str">
        <f>T("   Profilés creux en alliages d'aluminium, n.d.a.")</f>
        <v xml:space="preserve">   Profilés creux en alliages d'aluminium, n.d.a.</v>
      </c>
      <c r="C399">
        <v>21885449</v>
      </c>
      <c r="D399">
        <v>58570</v>
      </c>
    </row>
    <row r="400" spans="1:4" x14ac:dyDescent="0.25">
      <c r="A400" t="str">
        <f>T("   761699")</f>
        <v xml:space="preserve">   761699</v>
      </c>
      <c r="B400" t="str">
        <f>T("   Ouvrages en aluminium, n.d.a.")</f>
        <v xml:space="preserve">   Ouvrages en aluminium, n.d.a.</v>
      </c>
      <c r="C400">
        <v>1830128</v>
      </c>
      <c r="D400">
        <v>139</v>
      </c>
    </row>
    <row r="401" spans="1:4" x14ac:dyDescent="0.25">
      <c r="A401" t="str">
        <f>T("   820310")</f>
        <v xml:space="preserve">   820310</v>
      </c>
      <c r="B401" t="str">
        <f>T("   Limes, râpes et outils simil. à main, en métaux communs")</f>
        <v xml:space="preserve">   Limes, râpes et outils simil. à main, en métaux communs</v>
      </c>
      <c r="C401">
        <v>3117778</v>
      </c>
      <c r="D401">
        <v>236</v>
      </c>
    </row>
    <row r="402" spans="1:4" x14ac:dyDescent="0.25">
      <c r="A402" t="str">
        <f>T("   820790")</f>
        <v xml:space="preserve">   820790</v>
      </c>
      <c r="B402" t="str">
        <f>T("   Outils interchangeables pour outillage à main, mécanique ou non, ou pour machines-outils, n.d.a.")</f>
        <v xml:space="preserve">   Outils interchangeables pour outillage à main, mécanique ou non, ou pour machines-outils, n.d.a.</v>
      </c>
      <c r="C402">
        <v>9247579</v>
      </c>
      <c r="D402">
        <v>56151</v>
      </c>
    </row>
    <row r="403" spans="1:4" x14ac:dyDescent="0.25">
      <c r="A403" t="str">
        <f>T("   840890")</f>
        <v xml:space="preserve">   840890</v>
      </c>
      <c r="B403" t="s">
        <v>92</v>
      </c>
      <c r="C403">
        <v>1000000</v>
      </c>
      <c r="D403">
        <v>1000</v>
      </c>
    </row>
    <row r="404" spans="1:4" x14ac:dyDescent="0.25">
      <c r="A404" t="str">
        <f>T("   841440")</f>
        <v xml:space="preserve">   841440</v>
      </c>
      <c r="B404" t="str">
        <f>T("   Compresseurs d'air montés sur châssis à roues et remorquables")</f>
        <v xml:space="preserve">   Compresseurs d'air montés sur châssis à roues et remorquables</v>
      </c>
      <c r="C404">
        <v>5482513</v>
      </c>
      <c r="D404">
        <v>416</v>
      </c>
    </row>
    <row r="405" spans="1:4" x14ac:dyDescent="0.25">
      <c r="A405" t="str">
        <f>T("   842420")</f>
        <v xml:space="preserve">   842420</v>
      </c>
      <c r="B405" t="s">
        <v>96</v>
      </c>
      <c r="C405">
        <v>2351616</v>
      </c>
      <c r="D405">
        <v>178</v>
      </c>
    </row>
    <row r="406" spans="1:4" x14ac:dyDescent="0.25">
      <c r="A406" t="str">
        <f>T("   842951")</f>
        <v xml:space="preserve">   842951</v>
      </c>
      <c r="B406" t="str">
        <f>T("   Chargeuses et chargeuses-pelleteuses, à chargement frontal, autopropulsées")</f>
        <v xml:space="preserve">   Chargeuses et chargeuses-pelleteuses, à chargement frontal, autopropulsées</v>
      </c>
      <c r="C406">
        <v>163618727</v>
      </c>
      <c r="D406">
        <v>43800</v>
      </c>
    </row>
    <row r="407" spans="1:4" x14ac:dyDescent="0.25">
      <c r="A407" t="str">
        <f>T("   846799")</f>
        <v xml:space="preserve">   846799</v>
      </c>
      <c r="B407" t="str">
        <f>T("   Parties d'outils pour emploi à la main, hydrauliques ou à moteur électrique ou non électrique incorporé, n.d.a.")</f>
        <v xml:space="preserve">   Parties d'outils pour emploi à la main, hydrauliques ou à moteur électrique ou non électrique incorporé, n.d.a.</v>
      </c>
      <c r="C407">
        <v>5110584</v>
      </c>
      <c r="D407">
        <v>387</v>
      </c>
    </row>
    <row r="408" spans="1:4" x14ac:dyDescent="0.25">
      <c r="A408" t="str">
        <f>T("   853910")</f>
        <v xml:space="preserve">   853910</v>
      </c>
      <c r="B408" t="str">
        <f>T("   Phares et projecteurs scellés")</f>
        <v xml:space="preserve">   Phares et projecteurs scellés</v>
      </c>
      <c r="C408">
        <v>1189912</v>
      </c>
      <c r="D408">
        <v>90</v>
      </c>
    </row>
    <row r="409" spans="1:4" x14ac:dyDescent="0.25">
      <c r="A409" t="str">
        <f>T("   870322")</f>
        <v xml:space="preserve">   870322</v>
      </c>
      <c r="B409" t="s">
        <v>103</v>
      </c>
      <c r="C409">
        <v>12604068</v>
      </c>
      <c r="D409">
        <v>1330</v>
      </c>
    </row>
    <row r="410" spans="1:4" x14ac:dyDescent="0.25">
      <c r="A410" t="str">
        <f>T("   870323")</f>
        <v xml:space="preserve">   870323</v>
      </c>
      <c r="B410" t="s">
        <v>104</v>
      </c>
      <c r="C410">
        <v>14586669</v>
      </c>
      <c r="D410">
        <v>5280</v>
      </c>
    </row>
    <row r="411" spans="1:4" x14ac:dyDescent="0.25">
      <c r="A411" t="str">
        <f>T("   870324")</f>
        <v xml:space="preserve">   870324</v>
      </c>
      <c r="B411" t="s">
        <v>105</v>
      </c>
      <c r="C411">
        <v>222025894</v>
      </c>
      <c r="D411">
        <v>4400</v>
      </c>
    </row>
    <row r="412" spans="1:4" x14ac:dyDescent="0.25">
      <c r="A412" t="str">
        <f>T("   871120")</f>
        <v xml:space="preserve">   871120</v>
      </c>
      <c r="B412" t="str">
        <f>T("   Motocycles à moteur à piston alternatif, cylindrée &gt; 50 cm³ mais &lt;= 250 cm³")</f>
        <v xml:space="preserve">   Motocycles à moteur à piston alternatif, cylindrée &gt; 50 cm³ mais &lt;= 250 cm³</v>
      </c>
      <c r="C412">
        <v>1650000</v>
      </c>
      <c r="D412">
        <v>450</v>
      </c>
    </row>
    <row r="413" spans="1:4" x14ac:dyDescent="0.25">
      <c r="A413" t="str">
        <f>T("   871140")</f>
        <v xml:space="preserve">   871140</v>
      </c>
      <c r="B413" t="str">
        <f>T("   Motocycles à moteur à piston alternatif, cylindrée &gt; 500 cm³ mais &lt;= 800 cm³")</f>
        <v xml:space="preserve">   Motocycles à moteur à piston alternatif, cylindrée &gt; 500 cm³ mais &lt;= 800 cm³</v>
      </c>
      <c r="C413">
        <v>5958437</v>
      </c>
      <c r="D413">
        <v>5000</v>
      </c>
    </row>
    <row r="414" spans="1:4" x14ac:dyDescent="0.25">
      <c r="A414" t="str">
        <f>T("   871190")</f>
        <v xml:space="preserve">   871190</v>
      </c>
      <c r="B414" t="str">
        <f>T("   Side-cars")</f>
        <v xml:space="preserve">   Side-cars</v>
      </c>
      <c r="C414">
        <v>300000</v>
      </c>
      <c r="D414">
        <v>600</v>
      </c>
    </row>
    <row r="415" spans="1:4" x14ac:dyDescent="0.25">
      <c r="A415" t="str">
        <f>T("   901730")</f>
        <v xml:space="preserve">   901730</v>
      </c>
      <c r="B415" t="str">
        <f>T("   Micromètres, pieds à coulisses, calibres et jauges")</f>
        <v xml:space="preserve">   Micromètres, pieds à coulisses, calibres et jauges</v>
      </c>
      <c r="C415">
        <v>3977741</v>
      </c>
      <c r="D415">
        <v>303</v>
      </c>
    </row>
    <row r="416" spans="1:4" x14ac:dyDescent="0.25">
      <c r="A416" t="str">
        <f>T("   902580")</f>
        <v xml:space="preserve">   902580</v>
      </c>
      <c r="B416" t="s">
        <v>116</v>
      </c>
      <c r="C416">
        <v>18399594</v>
      </c>
      <c r="D416">
        <v>439</v>
      </c>
    </row>
    <row r="417" spans="1:4" x14ac:dyDescent="0.25">
      <c r="A417" t="str">
        <f>T("   902610")</f>
        <v xml:space="preserve">   902610</v>
      </c>
      <c r="B417"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417">
        <v>3935760</v>
      </c>
      <c r="D417">
        <v>70</v>
      </c>
    </row>
    <row r="418" spans="1:4" x14ac:dyDescent="0.25">
      <c r="A418" t="str">
        <f>T("   902790")</f>
        <v xml:space="preserve">   902790</v>
      </c>
      <c r="B418" t="s">
        <v>117</v>
      </c>
      <c r="C418">
        <v>19174000</v>
      </c>
      <c r="D418">
        <v>1216</v>
      </c>
    </row>
    <row r="419" spans="1:4" x14ac:dyDescent="0.25">
      <c r="A419" t="str">
        <f>T("   940210")</f>
        <v xml:space="preserve">   940210</v>
      </c>
      <c r="B419"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419">
        <v>3872788</v>
      </c>
      <c r="D419">
        <v>6000</v>
      </c>
    </row>
    <row r="420" spans="1:4" x14ac:dyDescent="0.25">
      <c r="A420" t="str">
        <f>T("   940350")</f>
        <v xml:space="preserve">   940350</v>
      </c>
      <c r="B420" t="str">
        <f>T("   Meubles pour chambres à coucher, en bois (sauf sièges)")</f>
        <v xml:space="preserve">   Meubles pour chambres à coucher, en bois (sauf sièges)</v>
      </c>
      <c r="C420">
        <v>5900000</v>
      </c>
      <c r="D420">
        <v>7200</v>
      </c>
    </row>
    <row r="421" spans="1:4" x14ac:dyDescent="0.25">
      <c r="A421" t="str">
        <f>T("   940380")</f>
        <v xml:space="preserve">   940380</v>
      </c>
      <c r="B421" t="str">
        <f>T("   Meubles en rotin, osier, bambou ou autres matières (sauf métal, bois et matières plastiques)")</f>
        <v xml:space="preserve">   Meubles en rotin, osier, bambou ou autres matières (sauf métal, bois et matières plastiques)</v>
      </c>
      <c r="C421">
        <v>20940192</v>
      </c>
      <c r="D421">
        <v>64560</v>
      </c>
    </row>
    <row r="422" spans="1:4" x14ac:dyDescent="0.25">
      <c r="A422" t="str">
        <f>T("   940390")</f>
        <v xml:space="preserve">   940390</v>
      </c>
      <c r="B422"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422">
        <v>2500000</v>
      </c>
      <c r="D422">
        <v>1270</v>
      </c>
    </row>
    <row r="423" spans="1:4" x14ac:dyDescent="0.25">
      <c r="A423" t="str">
        <f>T("   970300")</f>
        <v xml:space="preserve">   970300</v>
      </c>
      <c r="B423" t="str">
        <f>T("   Productions originales de l'art statuaire ou de la sculpture, en toutes matières")</f>
        <v xml:space="preserve">   Productions originales de l'art statuaire ou de la sculpture, en toutes matières</v>
      </c>
      <c r="C423">
        <v>2600000</v>
      </c>
      <c r="D423">
        <v>150</v>
      </c>
    </row>
    <row r="424" spans="1:4" x14ac:dyDescent="0.25">
      <c r="A424" t="str">
        <f>T("   970500")</f>
        <v xml:space="preserve">   970500</v>
      </c>
      <c r="B424" t="str">
        <f>T("   Collections et spécimens pour collections de zoologie, de botanique, de minéralogie, d'anatomie, ou présentant un intérêt historique, archéologique, paléontologique, ethnographique ou numismatique")</f>
        <v xml:space="preserve">   Collections et spécimens pour collections de zoologie, de botanique, de minéralogie, d'anatomie, ou présentant un intérêt historique, archéologique, paléontologique, ethnographique ou numismatique</v>
      </c>
      <c r="C424">
        <v>450000</v>
      </c>
      <c r="D424">
        <v>80</v>
      </c>
    </row>
    <row r="425" spans="1:4" x14ac:dyDescent="0.25">
      <c r="A425" t="str">
        <f>T("GA")</f>
        <v>GA</v>
      </c>
      <c r="B425" t="str">
        <f>T("Gabon")</f>
        <v>Gabon</v>
      </c>
    </row>
    <row r="426" spans="1:4" x14ac:dyDescent="0.25">
      <c r="A426" t="str">
        <f>T("   ZZ_Total_Produit_SH6")</f>
        <v xml:space="preserve">   ZZ_Total_Produit_SH6</v>
      </c>
      <c r="B426" t="str">
        <f>T("   ZZ_Total_Produit_SH6")</f>
        <v xml:space="preserve">   ZZ_Total_Produit_SH6</v>
      </c>
      <c r="C426">
        <v>456796684</v>
      </c>
      <c r="D426">
        <v>1125923</v>
      </c>
    </row>
    <row r="427" spans="1:4" x14ac:dyDescent="0.25">
      <c r="A427" t="str">
        <f>T("   071410")</f>
        <v xml:space="preserve">   071410</v>
      </c>
      <c r="B427" t="str">
        <f>T("   Racines de manioc, fraîches, réfrigérées, congelées ou séchées, même débitées en morceaux ou agglomérées sous forme de pellets")</f>
        <v xml:space="preserve">   Racines de manioc, fraîches, réfrigérées, congelées ou séchées, même débitées en morceaux ou agglomérées sous forme de pellets</v>
      </c>
      <c r="C427">
        <v>3000000</v>
      </c>
      <c r="D427">
        <v>15000</v>
      </c>
    </row>
    <row r="428" spans="1:4" x14ac:dyDescent="0.25">
      <c r="A428" t="str">
        <f>T("   071490")</f>
        <v xml:space="preserve">   071490</v>
      </c>
      <c r="B428" t="s">
        <v>15</v>
      </c>
      <c r="C428">
        <v>15300000</v>
      </c>
      <c r="D428">
        <v>166000</v>
      </c>
    </row>
    <row r="429" spans="1:4" x14ac:dyDescent="0.25">
      <c r="A429" t="str">
        <f>T("   100590")</f>
        <v xml:space="preserve">   100590</v>
      </c>
      <c r="B429" t="str">
        <f>T("   Maïs (autre que de semence)")</f>
        <v xml:space="preserve">   Maïs (autre que de semence)</v>
      </c>
      <c r="C429">
        <v>231000</v>
      </c>
      <c r="D429">
        <v>1980</v>
      </c>
    </row>
    <row r="430" spans="1:4" x14ac:dyDescent="0.25">
      <c r="A430" t="str">
        <f>T("   110620")</f>
        <v xml:space="preserve">   110620</v>
      </c>
      <c r="B430" t="str">
        <f>T("   Farines, semoules et poudres de sagou ou des racines ou tubercules du n° 0714")</f>
        <v xml:space="preserve">   Farines, semoules et poudres de sagou ou des racines ou tubercules du n° 0714</v>
      </c>
      <c r="C430">
        <v>9053500</v>
      </c>
      <c r="D430">
        <v>54510</v>
      </c>
    </row>
    <row r="431" spans="1:4" x14ac:dyDescent="0.25">
      <c r="A431" t="str">
        <f>T("   120710")</f>
        <v xml:space="preserve">   120710</v>
      </c>
      <c r="B431" t="str">
        <f>T("   NOIX ET AMANDES DE PALMISTES")</f>
        <v xml:space="preserve">   NOIX ET AMANDES DE PALMISTES</v>
      </c>
      <c r="C431">
        <v>31485936</v>
      </c>
      <c r="D431">
        <v>374</v>
      </c>
    </row>
    <row r="432" spans="1:4" x14ac:dyDescent="0.25">
      <c r="A432" t="str">
        <f>T("   200600")</f>
        <v xml:space="preserve">   200600</v>
      </c>
      <c r="B432" t="str">
        <f>T("   Légumes, fruits, écorces de fruits et autres parties de plantes, confits au sucre [égouttés, glacés ou cristallisés]")</f>
        <v xml:space="preserve">   Légumes, fruits, écorces de fruits et autres parties de plantes, confits au sucre [égouttés, glacés ou cristallisés]</v>
      </c>
      <c r="C432">
        <v>275000</v>
      </c>
      <c r="D432">
        <v>4330</v>
      </c>
    </row>
    <row r="433" spans="1:4" x14ac:dyDescent="0.25">
      <c r="A433" t="str">
        <f>T("   220600")</f>
        <v xml:space="preserve">   220600</v>
      </c>
      <c r="B433" t="s">
        <v>24</v>
      </c>
      <c r="C433">
        <v>560000</v>
      </c>
      <c r="D433">
        <v>29150</v>
      </c>
    </row>
    <row r="434" spans="1:4" x14ac:dyDescent="0.25">
      <c r="A434" t="str">
        <f>T("   230240")</f>
        <v xml:space="preserve">   230240</v>
      </c>
      <c r="B434"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434">
        <v>640000</v>
      </c>
      <c r="D434">
        <v>25500</v>
      </c>
    </row>
    <row r="435" spans="1:4" x14ac:dyDescent="0.25">
      <c r="A435" t="str">
        <f>T("   230400")</f>
        <v xml:space="preserve">   230400</v>
      </c>
      <c r="B435"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435">
        <v>97568310</v>
      </c>
      <c r="D435">
        <v>237986</v>
      </c>
    </row>
    <row r="436" spans="1:4" x14ac:dyDescent="0.25">
      <c r="A436" t="str">
        <f>T("   230800")</f>
        <v xml:space="preserve">   230800</v>
      </c>
      <c r="B436" t="str">
        <f>T("   Glands de chêne, marrons d'Inde, marcs de fruits et autres matières, déchets, résidus et sous-produits végétaux, même agglomérés sous forme de pellets, des types utilisés pour l'alimentation des animaux, n.d.a.")</f>
        <v xml:space="preserve">   Glands de chêne, marrons d'Inde, marcs de fruits et autres matières, déchets, résidus et sous-produits végétaux, même agglomérés sous forme de pellets, des types utilisés pour l'alimentation des animaux, n.d.a.</v>
      </c>
      <c r="C436">
        <v>98296918</v>
      </c>
      <c r="D436">
        <v>239762</v>
      </c>
    </row>
    <row r="437" spans="1:4" x14ac:dyDescent="0.25">
      <c r="A437" t="str">
        <f>T("   330499")</f>
        <v xml:space="preserve">   330499</v>
      </c>
      <c r="B437" t="s">
        <v>38</v>
      </c>
      <c r="C437">
        <v>630000</v>
      </c>
      <c r="D437">
        <v>5250</v>
      </c>
    </row>
    <row r="438" spans="1:4" x14ac:dyDescent="0.25">
      <c r="A438" t="str">
        <f>T("   330590")</f>
        <v xml:space="preserve">   330590</v>
      </c>
      <c r="B438"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438">
        <v>1900000</v>
      </c>
      <c r="D438">
        <v>2400</v>
      </c>
    </row>
    <row r="439" spans="1:4" x14ac:dyDescent="0.25">
      <c r="A439" t="str">
        <f>T("   392490")</f>
        <v xml:space="preserve">   392490</v>
      </c>
      <c r="B439" t="s">
        <v>43</v>
      </c>
      <c r="C439">
        <v>2560000</v>
      </c>
      <c r="D439">
        <v>22310</v>
      </c>
    </row>
    <row r="440" spans="1:4" x14ac:dyDescent="0.25">
      <c r="A440" t="str">
        <f>T("   392620")</f>
        <v xml:space="preserve">   392620</v>
      </c>
      <c r="B440"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440">
        <v>1693689</v>
      </c>
      <c r="D440">
        <v>343</v>
      </c>
    </row>
    <row r="441" spans="1:4" x14ac:dyDescent="0.25">
      <c r="A441" t="str">
        <f>T("   521225")</f>
        <v xml:space="preserve">   521225</v>
      </c>
      <c r="B441"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441">
        <v>700000</v>
      </c>
      <c r="D441">
        <v>1300</v>
      </c>
    </row>
    <row r="442" spans="1:4" x14ac:dyDescent="0.25">
      <c r="A442" t="str">
        <f>T("   600690")</f>
        <v xml:space="preserve">   600690</v>
      </c>
      <c r="B442" t="s">
        <v>58</v>
      </c>
      <c r="C442">
        <v>2170000</v>
      </c>
      <c r="D442">
        <v>2260</v>
      </c>
    </row>
    <row r="443" spans="1:4" x14ac:dyDescent="0.25">
      <c r="A443" t="str">
        <f>T("   611490")</f>
        <v xml:space="preserve">   611490</v>
      </c>
      <c r="B443"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443">
        <v>4869191</v>
      </c>
      <c r="D443">
        <v>880</v>
      </c>
    </row>
    <row r="444" spans="1:4" x14ac:dyDescent="0.25">
      <c r="A444" t="str">
        <f>T("   620590")</f>
        <v xml:space="preserve">   620590</v>
      </c>
      <c r="B44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44">
        <v>1750000</v>
      </c>
      <c r="D444">
        <v>1750</v>
      </c>
    </row>
    <row r="445" spans="1:4" x14ac:dyDescent="0.25">
      <c r="A445" t="str">
        <f>T("   721610")</f>
        <v xml:space="preserve">   721610</v>
      </c>
      <c r="B445" t="str">
        <f>T("   PROFILÉS U, I OU H EN FER OU EN ACIERS NON ALLIÉS, SIMPLEMENT LAMINÉS OU FILÉS À CHAUD, HAUTEUR &lt; 80 MM")</f>
        <v xml:space="preserve">   PROFILÉS U, I OU H EN FER OU EN ACIERS NON ALLIÉS, SIMPLEMENT LAMINÉS OU FILÉS À CHAUD, HAUTEUR &lt; 80 MM</v>
      </c>
      <c r="C445">
        <v>13081082</v>
      </c>
      <c r="D445">
        <v>21000</v>
      </c>
    </row>
    <row r="446" spans="1:4" x14ac:dyDescent="0.25">
      <c r="A446" t="str">
        <f>T("   730820")</f>
        <v xml:space="preserve">   730820</v>
      </c>
      <c r="B446" t="str">
        <f>T("   Tours et pylônes, en fer ou en acier")</f>
        <v xml:space="preserve">   Tours et pylônes, en fer ou en acier</v>
      </c>
      <c r="C446">
        <v>66424265</v>
      </c>
      <c r="D446">
        <v>135000</v>
      </c>
    </row>
    <row r="447" spans="1:4" x14ac:dyDescent="0.25">
      <c r="A447" t="str">
        <f>T("   732394")</f>
        <v xml:space="preserve">   732394</v>
      </c>
      <c r="B447" t="s">
        <v>82</v>
      </c>
      <c r="C447">
        <v>1200000</v>
      </c>
      <c r="D447">
        <v>1350</v>
      </c>
    </row>
    <row r="448" spans="1:4" x14ac:dyDescent="0.25">
      <c r="A448" t="str">
        <f>T("   820510")</f>
        <v xml:space="preserve">   820510</v>
      </c>
      <c r="B448" t="str">
        <f>T("   Outils de perçage, de filetage ou de taraudage, maniés à la main")</f>
        <v xml:space="preserve">   Outils de perçage, de filetage ou de taraudage, maniés à la main</v>
      </c>
      <c r="C448">
        <v>550000</v>
      </c>
      <c r="D448">
        <v>1500</v>
      </c>
    </row>
    <row r="449" spans="1:4" x14ac:dyDescent="0.25">
      <c r="A449" t="str">
        <f>T("   840790")</f>
        <v xml:space="preserve">   840790</v>
      </c>
      <c r="B449" t="s">
        <v>90</v>
      </c>
      <c r="C449">
        <v>800000</v>
      </c>
      <c r="D449">
        <v>50850</v>
      </c>
    </row>
    <row r="450" spans="1:4" x14ac:dyDescent="0.25">
      <c r="A450" t="str">
        <f>T("   841440")</f>
        <v xml:space="preserve">   841440</v>
      </c>
      <c r="B450" t="str">
        <f>T("   Compresseurs d'air montés sur châssis à roues et remorquables")</f>
        <v xml:space="preserve">   Compresseurs d'air montés sur châssis à roues et remorquables</v>
      </c>
      <c r="C450">
        <v>100000</v>
      </c>
      <c r="D450">
        <v>950</v>
      </c>
    </row>
    <row r="451" spans="1:4" x14ac:dyDescent="0.25">
      <c r="A451" t="str">
        <f>T("   842919")</f>
        <v xml:space="preserve">   842919</v>
      </c>
      <c r="B451" t="str">
        <f>T("   Bouteurs 'bulldozers' et bouteurs biais 'angledozers', sur roues")</f>
        <v xml:space="preserve">   Bouteurs 'bulldozers' et bouteurs biais 'angledozers', sur roues</v>
      </c>
      <c r="C451">
        <v>3000000</v>
      </c>
      <c r="D451">
        <v>25000</v>
      </c>
    </row>
    <row r="452" spans="1:4" x14ac:dyDescent="0.25">
      <c r="A452" t="str">
        <f>T("   842951")</f>
        <v xml:space="preserve">   842951</v>
      </c>
      <c r="B452" t="str">
        <f>T("   Chargeuses et chargeuses-pelleteuses, à chargement frontal, autopropulsées")</f>
        <v xml:space="preserve">   Chargeuses et chargeuses-pelleteuses, à chargement frontal, autopropulsées</v>
      </c>
      <c r="C452">
        <v>1700000</v>
      </c>
      <c r="D452">
        <v>1200</v>
      </c>
    </row>
    <row r="453" spans="1:4" x14ac:dyDescent="0.25">
      <c r="A453" t="str">
        <f>T("   870210")</f>
        <v xml:space="preserve">   870210</v>
      </c>
      <c r="B453" t="s">
        <v>102</v>
      </c>
      <c r="C453">
        <v>1000000</v>
      </c>
      <c r="D453">
        <v>1780</v>
      </c>
    </row>
    <row r="454" spans="1:4" x14ac:dyDescent="0.25">
      <c r="A454" t="str">
        <f>T("   870322")</f>
        <v xml:space="preserve">   870322</v>
      </c>
      <c r="B454" t="s">
        <v>103</v>
      </c>
      <c r="C454">
        <v>15542058</v>
      </c>
      <c r="D454">
        <v>15113</v>
      </c>
    </row>
    <row r="455" spans="1:4" x14ac:dyDescent="0.25">
      <c r="A455" t="str">
        <f>T("   870323")</f>
        <v xml:space="preserve">   870323</v>
      </c>
      <c r="B455" t="s">
        <v>104</v>
      </c>
      <c r="C455">
        <v>28086622</v>
      </c>
      <c r="D455">
        <v>6370</v>
      </c>
    </row>
    <row r="456" spans="1:4" x14ac:dyDescent="0.25">
      <c r="A456" t="str">
        <f>T("   870324")</f>
        <v xml:space="preserve">   870324</v>
      </c>
      <c r="B456" t="s">
        <v>105</v>
      </c>
      <c r="C456">
        <v>26264096</v>
      </c>
      <c r="D456">
        <v>5433</v>
      </c>
    </row>
    <row r="457" spans="1:4" x14ac:dyDescent="0.25">
      <c r="A457" t="str">
        <f>T("   870600")</f>
        <v xml:space="preserve">   870600</v>
      </c>
      <c r="B457" t="s">
        <v>113</v>
      </c>
      <c r="C457">
        <v>3300000</v>
      </c>
      <c r="D457">
        <v>3660</v>
      </c>
    </row>
    <row r="458" spans="1:4" x14ac:dyDescent="0.25">
      <c r="A458" t="str">
        <f>T("   870899")</f>
        <v xml:space="preserve">   870899</v>
      </c>
      <c r="B45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458">
        <v>460000</v>
      </c>
      <c r="D458">
        <v>26000</v>
      </c>
    </row>
    <row r="459" spans="1:4" x14ac:dyDescent="0.25">
      <c r="A459" t="str">
        <f>T("   871120")</f>
        <v xml:space="preserve">   871120</v>
      </c>
      <c r="B459" t="str">
        <f>T("   Motocycles à moteur à piston alternatif, cylindrée &gt; 50 cm³ mais &lt;= 250 cm³")</f>
        <v xml:space="preserve">   Motocycles à moteur à piston alternatif, cylindrée &gt; 50 cm³ mais &lt;= 250 cm³</v>
      </c>
      <c r="C459">
        <v>3850000</v>
      </c>
      <c r="D459">
        <v>3032</v>
      </c>
    </row>
    <row r="460" spans="1:4" x14ac:dyDescent="0.25">
      <c r="A460" t="str">
        <f>T("   871130")</f>
        <v xml:space="preserve">   871130</v>
      </c>
      <c r="B460" t="str">
        <f>T("   Motocycles à moteur à piston alternatif, cylindrée &gt; 250 cm³ mais &lt;= 500 cm³")</f>
        <v xml:space="preserve">   Motocycles à moteur à piston alternatif, cylindrée &gt; 250 cm³ mais &lt;= 500 cm³</v>
      </c>
      <c r="C460">
        <v>6121713</v>
      </c>
      <c r="D460">
        <v>500</v>
      </c>
    </row>
    <row r="461" spans="1:4" x14ac:dyDescent="0.25">
      <c r="A461" t="str">
        <f>T("   871140")</f>
        <v xml:space="preserve">   871140</v>
      </c>
      <c r="B461" t="str">
        <f>T("   Motocycles à moteur à piston alternatif, cylindrée &gt; 500 cm³ mais &lt;= 800 cm³")</f>
        <v xml:space="preserve">   Motocycles à moteur à piston alternatif, cylindrée &gt; 500 cm³ mais &lt;= 800 cm³</v>
      </c>
      <c r="C461">
        <v>8983304</v>
      </c>
      <c r="D461">
        <v>500</v>
      </c>
    </row>
    <row r="462" spans="1:4" x14ac:dyDescent="0.25">
      <c r="A462" t="str">
        <f>T("   940330")</f>
        <v xml:space="preserve">   940330</v>
      </c>
      <c r="B462" t="str">
        <f>T("   Meubles de bureau en bois (sauf sièges)")</f>
        <v xml:space="preserve">   Meubles de bureau en bois (sauf sièges)</v>
      </c>
      <c r="C462">
        <v>310000</v>
      </c>
      <c r="D462">
        <v>1000</v>
      </c>
    </row>
    <row r="463" spans="1:4" x14ac:dyDescent="0.25">
      <c r="A463" t="str">
        <f>T("   940350")</f>
        <v xml:space="preserve">   940350</v>
      </c>
      <c r="B463" t="str">
        <f>T("   Meubles pour chambres à coucher, en bois (sauf sièges)")</f>
        <v xml:space="preserve">   Meubles pour chambres à coucher, en bois (sauf sièges)</v>
      </c>
      <c r="C463">
        <v>2750000</v>
      </c>
      <c r="D463">
        <v>3500</v>
      </c>
    </row>
    <row r="464" spans="1:4" x14ac:dyDescent="0.25">
      <c r="A464" t="str">
        <f>T("   940380")</f>
        <v xml:space="preserve">   940380</v>
      </c>
      <c r="B464" t="str">
        <f>T("   Meubles en rotin, osier, bambou ou autres matières (sauf métal, bois et matières plastiques)")</f>
        <v xml:space="preserve">   Meubles en rotin, osier, bambou ou autres matières (sauf métal, bois et matières plastiques)</v>
      </c>
      <c r="C464">
        <v>500000</v>
      </c>
      <c r="D464">
        <v>10000</v>
      </c>
    </row>
    <row r="465" spans="1:4" x14ac:dyDescent="0.25">
      <c r="A465" t="str">
        <f>T("   940429")</f>
        <v xml:space="preserve">   940429</v>
      </c>
      <c r="B465"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465">
        <v>90000</v>
      </c>
      <c r="D465">
        <v>1100</v>
      </c>
    </row>
    <row r="466" spans="1:4" x14ac:dyDescent="0.25">
      <c r="A466" t="str">
        <f>T("GB")</f>
        <v>GB</v>
      </c>
      <c r="B466" t="str">
        <f>T("Royaume-Uni")</f>
        <v>Royaume-Uni</v>
      </c>
    </row>
    <row r="467" spans="1:4" x14ac:dyDescent="0.25">
      <c r="A467" t="str">
        <f>T("   ZZ_Total_Produit_SH6")</f>
        <v xml:space="preserve">   ZZ_Total_Produit_SH6</v>
      </c>
      <c r="B467" t="str">
        <f>T("   ZZ_Total_Produit_SH6")</f>
        <v xml:space="preserve">   ZZ_Total_Produit_SH6</v>
      </c>
      <c r="C467">
        <v>195467601</v>
      </c>
      <c r="D467">
        <v>284279</v>
      </c>
    </row>
    <row r="468" spans="1:4" x14ac:dyDescent="0.25">
      <c r="A468" t="str">
        <f>T("   071490")</f>
        <v xml:space="preserve">   071490</v>
      </c>
      <c r="B468" t="s">
        <v>15</v>
      </c>
      <c r="C468">
        <v>450000</v>
      </c>
      <c r="D468">
        <v>10000</v>
      </c>
    </row>
    <row r="469" spans="1:4" x14ac:dyDescent="0.25">
      <c r="A469" t="str">
        <f>T("   080211")</f>
        <v xml:space="preserve">   080211</v>
      </c>
      <c r="B469" t="str">
        <f>T("   Amandes, fraîches ou sèches, en coques")</f>
        <v xml:space="preserve">   Amandes, fraîches ou sèches, en coques</v>
      </c>
      <c r="C469">
        <v>42920775</v>
      </c>
      <c r="D469">
        <v>16556</v>
      </c>
    </row>
    <row r="470" spans="1:4" x14ac:dyDescent="0.25">
      <c r="A470" t="str">
        <f>T("   230610")</f>
        <v xml:space="preserve">   230610</v>
      </c>
      <c r="B470"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470">
        <v>3565000</v>
      </c>
      <c r="D470">
        <v>71300</v>
      </c>
    </row>
    <row r="471" spans="1:4" x14ac:dyDescent="0.25">
      <c r="A471" t="str">
        <f>T("   392690")</f>
        <v xml:space="preserve">   392690</v>
      </c>
      <c r="B471" t="str">
        <f>T("   Ouvrages en matières plastiques et ouvrages en autres matières du n° 3901 à 3914, n.d.a.")</f>
        <v xml:space="preserve">   Ouvrages en matières plastiques et ouvrages en autres matières du n° 3901 à 3914, n.d.a.</v>
      </c>
      <c r="C471">
        <v>513117</v>
      </c>
      <c r="D471">
        <v>99</v>
      </c>
    </row>
    <row r="472" spans="1:4" x14ac:dyDescent="0.25">
      <c r="A472" t="str">
        <f>T("   442010")</f>
        <v xml:space="preserve">   442010</v>
      </c>
      <c r="B472" t="str">
        <f>T("   Statuettes et autres objets d'ornement, en bois (autres que marquetés ou incrustés)")</f>
        <v xml:space="preserve">   Statuettes et autres objets d'ornement, en bois (autres que marquetés ou incrustés)</v>
      </c>
      <c r="C472">
        <v>200000</v>
      </c>
      <c r="D472">
        <v>690</v>
      </c>
    </row>
    <row r="473" spans="1:4" x14ac:dyDescent="0.25">
      <c r="A473" t="str">
        <f>T("   442190")</f>
        <v xml:space="preserve">   442190</v>
      </c>
      <c r="B473" t="str">
        <f>T("   Ouvrages, en bois, n.d.a.")</f>
        <v xml:space="preserve">   Ouvrages, en bois, n.d.a.</v>
      </c>
      <c r="C473">
        <v>824341</v>
      </c>
      <c r="D473">
        <v>158</v>
      </c>
    </row>
    <row r="474" spans="1:4" x14ac:dyDescent="0.25">
      <c r="A474" t="str">
        <f>T("   520100")</f>
        <v xml:space="preserve">   520100</v>
      </c>
      <c r="B474" t="str">
        <f>T("   COTON, NON-CARDÉ NI PEIGNÉ")</f>
        <v xml:space="preserve">   COTON, NON-CARDÉ NI PEIGNÉ</v>
      </c>
      <c r="C474">
        <v>132457977</v>
      </c>
      <c r="D474">
        <v>172809</v>
      </c>
    </row>
    <row r="475" spans="1:4" x14ac:dyDescent="0.25">
      <c r="A475" t="str">
        <f>T("   570299")</f>
        <v xml:space="preserve">   570299</v>
      </c>
      <c r="B475" t="s">
        <v>57</v>
      </c>
      <c r="C475">
        <v>204081</v>
      </c>
      <c r="D475">
        <v>39</v>
      </c>
    </row>
    <row r="476" spans="1:4" x14ac:dyDescent="0.25">
      <c r="A476" t="str">
        <f>T("   680911")</f>
        <v xml:space="preserve">   680911</v>
      </c>
      <c r="B476" t="s">
        <v>69</v>
      </c>
      <c r="C476">
        <v>2072879</v>
      </c>
      <c r="D476">
        <v>399</v>
      </c>
    </row>
    <row r="477" spans="1:4" x14ac:dyDescent="0.25">
      <c r="A477" t="str">
        <f>T("   721420")</f>
        <v xml:space="preserve">   721420</v>
      </c>
      <c r="B477"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477">
        <v>3261078</v>
      </c>
      <c r="D477">
        <v>4601</v>
      </c>
    </row>
    <row r="478" spans="1:4" x14ac:dyDescent="0.25">
      <c r="A478" t="str">
        <f>T("   731815")</f>
        <v xml:space="preserve">   731815</v>
      </c>
      <c r="B478" t="s">
        <v>80</v>
      </c>
      <c r="C478">
        <v>92565</v>
      </c>
      <c r="D478">
        <v>18</v>
      </c>
    </row>
    <row r="479" spans="1:4" x14ac:dyDescent="0.25">
      <c r="A479" t="str">
        <f>T("   732690")</f>
        <v xml:space="preserve">   732690</v>
      </c>
      <c r="B47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479">
        <v>5562210</v>
      </c>
      <c r="D479">
        <v>6098</v>
      </c>
    </row>
    <row r="480" spans="1:4" x14ac:dyDescent="0.25">
      <c r="A480" t="str">
        <f>T("   820210")</f>
        <v xml:space="preserve">   820210</v>
      </c>
      <c r="B480" t="str">
        <f>T("   Scies à main, avec partie travaillante en métaux communs (à l'excl. des tronçonneuses)")</f>
        <v xml:space="preserve">   Scies à main, avec partie travaillante en métaux communs (à l'excl. des tronçonneuses)</v>
      </c>
      <c r="C480">
        <v>1061949</v>
      </c>
      <c r="D480">
        <v>204</v>
      </c>
    </row>
    <row r="481" spans="1:4" x14ac:dyDescent="0.25">
      <c r="A481" t="str">
        <f>T("   850440")</f>
        <v xml:space="preserve">   850440</v>
      </c>
      <c r="B481" t="str">
        <f>T("   CONVERTISSEURS STATIQUES")</f>
        <v xml:space="preserve">   CONVERTISSEURS STATIQUES</v>
      </c>
      <c r="C481">
        <v>651601</v>
      </c>
      <c r="D481">
        <v>125</v>
      </c>
    </row>
    <row r="482" spans="1:4" x14ac:dyDescent="0.25">
      <c r="A482" t="str">
        <f>T("   854449")</f>
        <v xml:space="preserve">   854449</v>
      </c>
      <c r="B482" t="str">
        <f>T("   CONDUCTEURS ÉLECTRIQUES, POUR TENSION &lt;= 1.000 V, ISOLÉS, SANS PIÈCES DE CONNEXION, N.D.A.")</f>
        <v xml:space="preserve">   CONDUCTEURS ÉLECTRIQUES, POUR TENSION &lt;= 1.000 V, ISOLÉS, SANS PIÈCES DE CONNEXION, N.D.A.</v>
      </c>
      <c r="C482">
        <v>300291</v>
      </c>
      <c r="D482">
        <v>58</v>
      </c>
    </row>
    <row r="483" spans="1:4" x14ac:dyDescent="0.25">
      <c r="A483" t="str">
        <f>T("   870322")</f>
        <v xml:space="preserve">   870322</v>
      </c>
      <c r="B483" t="s">
        <v>103</v>
      </c>
      <c r="C483">
        <v>1200000</v>
      </c>
      <c r="D483">
        <v>1100</v>
      </c>
    </row>
    <row r="484" spans="1:4" x14ac:dyDescent="0.25">
      <c r="A484" t="str">
        <f>T("   940540")</f>
        <v xml:space="preserve">   940540</v>
      </c>
      <c r="B484" t="str">
        <f>T("   Appareils d'éclairage électrique, n.d.a.")</f>
        <v xml:space="preserve">   Appareils d'éclairage électrique, n.d.a.</v>
      </c>
      <c r="C484">
        <v>129737</v>
      </c>
      <c r="D484">
        <v>25</v>
      </c>
    </row>
    <row r="485" spans="1:4" x14ac:dyDescent="0.25">
      <c r="A485" t="str">
        <f>T("GE")</f>
        <v>GE</v>
      </c>
      <c r="B485" t="str">
        <f>T("Géorgie")</f>
        <v>Géorgie</v>
      </c>
    </row>
    <row r="486" spans="1:4" x14ac:dyDescent="0.25">
      <c r="A486" t="str">
        <f>T("   ZZ_Total_Produit_SH6")</f>
        <v xml:space="preserve">   ZZ_Total_Produit_SH6</v>
      </c>
      <c r="B486" t="str">
        <f>T("   ZZ_Total_Produit_SH6")</f>
        <v xml:space="preserve">   ZZ_Total_Produit_SH6</v>
      </c>
      <c r="C486">
        <v>615000</v>
      </c>
      <c r="D486">
        <v>24100</v>
      </c>
    </row>
    <row r="487" spans="1:4" x14ac:dyDescent="0.25">
      <c r="A487" t="str">
        <f>T("   071490")</f>
        <v xml:space="preserve">   071490</v>
      </c>
      <c r="B487" t="s">
        <v>15</v>
      </c>
      <c r="C487">
        <v>615000</v>
      </c>
      <c r="D487">
        <v>24100</v>
      </c>
    </row>
    <row r="488" spans="1:4" x14ac:dyDescent="0.25">
      <c r="A488" t="str">
        <f>T("GH")</f>
        <v>GH</v>
      </c>
      <c r="B488" t="str">
        <f>T("Ghana")</f>
        <v>Ghana</v>
      </c>
    </row>
    <row r="489" spans="1:4" x14ac:dyDescent="0.25">
      <c r="A489" t="str">
        <f>T("   ZZ_Total_Produit_SH6")</f>
        <v xml:space="preserve">   ZZ_Total_Produit_SH6</v>
      </c>
      <c r="B489" t="str">
        <f>T("   ZZ_Total_Produit_SH6")</f>
        <v xml:space="preserve">   ZZ_Total_Produit_SH6</v>
      </c>
      <c r="C489">
        <v>4003945500</v>
      </c>
      <c r="D489">
        <v>28009518.260000002</v>
      </c>
    </row>
    <row r="490" spans="1:4" x14ac:dyDescent="0.25">
      <c r="A490" t="str">
        <f>T("   030379")</f>
        <v xml:space="preserve">   030379</v>
      </c>
      <c r="B490" t="s">
        <v>13</v>
      </c>
      <c r="C490">
        <v>63000000</v>
      </c>
      <c r="D490">
        <v>211000</v>
      </c>
    </row>
    <row r="491" spans="1:4" x14ac:dyDescent="0.25">
      <c r="A491" t="str">
        <f>T("   080131")</f>
        <v xml:space="preserve">   080131</v>
      </c>
      <c r="B491" t="str">
        <f>T("   Noix de cajou, fraîches ou sèches, en coques")</f>
        <v xml:space="preserve">   Noix de cajou, fraîches ou sèches, en coques</v>
      </c>
      <c r="C491">
        <v>21000000</v>
      </c>
      <c r="D491">
        <v>280000</v>
      </c>
    </row>
    <row r="492" spans="1:4" x14ac:dyDescent="0.25">
      <c r="A492" t="str">
        <f>T("   090230")</f>
        <v xml:space="preserve">   090230</v>
      </c>
      <c r="B492" t="s">
        <v>17</v>
      </c>
      <c r="C492">
        <v>60000</v>
      </c>
      <c r="D492">
        <v>140</v>
      </c>
    </row>
    <row r="493" spans="1:4" x14ac:dyDescent="0.25">
      <c r="A493" t="str">
        <f>T("   120710")</f>
        <v xml:space="preserve">   120710</v>
      </c>
      <c r="B493" t="str">
        <f>T("   NOIX ET AMANDES DE PALMISTES")</f>
        <v xml:space="preserve">   NOIX ET AMANDES DE PALMISTES</v>
      </c>
      <c r="C493">
        <v>103313228</v>
      </c>
      <c r="D493">
        <v>1188</v>
      </c>
    </row>
    <row r="494" spans="1:4" x14ac:dyDescent="0.25">
      <c r="A494" t="str">
        <f>T("   220110")</f>
        <v xml:space="preserve">   220110</v>
      </c>
      <c r="B494" t="str">
        <f>T("   Eaux minérales et eaux gazéifiées, non additionnées de sucre ou d'autres édulcorants ni aromatisées")</f>
        <v xml:space="preserve">   Eaux minérales et eaux gazéifiées, non additionnées de sucre ou d'autres édulcorants ni aromatisées</v>
      </c>
      <c r="C494">
        <v>20459903</v>
      </c>
      <c r="D494">
        <v>89862</v>
      </c>
    </row>
    <row r="495" spans="1:4" x14ac:dyDescent="0.25">
      <c r="A495" t="str">
        <f>T("   220210")</f>
        <v xml:space="preserve">   220210</v>
      </c>
      <c r="B495"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95">
        <v>13308917</v>
      </c>
      <c r="D495">
        <v>33868</v>
      </c>
    </row>
    <row r="496" spans="1:4" x14ac:dyDescent="0.25">
      <c r="A496" t="str">
        <f>T("   230400")</f>
        <v xml:space="preserve">   230400</v>
      </c>
      <c r="B496"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496">
        <v>117927915</v>
      </c>
      <c r="D496">
        <v>381207</v>
      </c>
    </row>
    <row r="497" spans="1:4" x14ac:dyDescent="0.25">
      <c r="A497" t="str">
        <f>T("   230610")</f>
        <v xml:space="preserve">   230610</v>
      </c>
      <c r="B497"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497">
        <v>1299966436</v>
      </c>
      <c r="D497">
        <v>7706078</v>
      </c>
    </row>
    <row r="498" spans="1:4" x14ac:dyDescent="0.25">
      <c r="A498" t="str">
        <f>T("   251520")</f>
        <v xml:space="preserve">   251520</v>
      </c>
      <c r="B498" t="s">
        <v>28</v>
      </c>
      <c r="C498">
        <v>183370000</v>
      </c>
      <c r="D498">
        <v>16540000</v>
      </c>
    </row>
    <row r="499" spans="1:4" x14ac:dyDescent="0.25">
      <c r="A499" t="str">
        <f>T("   251749")</f>
        <v xml:space="preserve">   251749</v>
      </c>
      <c r="B499" t="s">
        <v>30</v>
      </c>
      <c r="C499">
        <v>3350000</v>
      </c>
      <c r="D499">
        <v>1340000</v>
      </c>
    </row>
    <row r="500" spans="1:4" x14ac:dyDescent="0.25">
      <c r="A500" t="str">
        <f>T("   280421")</f>
        <v xml:space="preserve">   280421</v>
      </c>
      <c r="B500" t="str">
        <f>T("   Argon")</f>
        <v xml:space="preserve">   Argon</v>
      </c>
      <c r="C500">
        <v>1104590</v>
      </c>
      <c r="D500">
        <v>1500</v>
      </c>
    </row>
    <row r="501" spans="1:4" x14ac:dyDescent="0.25">
      <c r="A501" t="str">
        <f>T("   300420")</f>
        <v xml:space="preserve">   300420</v>
      </c>
      <c r="B501" t="s">
        <v>32</v>
      </c>
      <c r="C501">
        <v>25149836</v>
      </c>
      <c r="D501">
        <v>741</v>
      </c>
    </row>
    <row r="502" spans="1:4" x14ac:dyDescent="0.25">
      <c r="A502" t="str">
        <f>T("   320820")</f>
        <v xml:space="preserve">   320820</v>
      </c>
      <c r="B502" t="s">
        <v>36</v>
      </c>
      <c r="C502">
        <v>13104876</v>
      </c>
      <c r="D502">
        <v>6452</v>
      </c>
    </row>
    <row r="503" spans="1:4" x14ac:dyDescent="0.25">
      <c r="A503" t="str">
        <f>T("   320910")</f>
        <v xml:space="preserve">   320910</v>
      </c>
      <c r="B503" t="str">
        <f>T("   Peintures et vernis à base de polymères acryliques ou vinyliques, dispersés ou dissous dans un milieu aqueux")</f>
        <v xml:space="preserve">   Peintures et vernis à base de polymères acryliques ou vinyliques, dispersés ou dissous dans un milieu aqueux</v>
      </c>
      <c r="C503">
        <v>21989841</v>
      </c>
      <c r="D503">
        <v>36546</v>
      </c>
    </row>
    <row r="504" spans="1:4" x14ac:dyDescent="0.25">
      <c r="A504" t="str">
        <f>T("   320990")</f>
        <v xml:space="preserve">   320990</v>
      </c>
      <c r="B504"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504">
        <v>40773288</v>
      </c>
      <c r="D504">
        <v>88953</v>
      </c>
    </row>
    <row r="505" spans="1:4" x14ac:dyDescent="0.25">
      <c r="A505" t="str">
        <f>T("   350510")</f>
        <v xml:space="preserve">   350510</v>
      </c>
      <c r="B505" t="str">
        <f>T("   DEXTRINE ET AUTRES AMIDONS ET FÉCULES MODIFIÉS [LES AMIDONS ET FÉCULES PRÉ-GÉLATINISÉS OU ESTÉRIFIÉS, P.EX.]")</f>
        <v xml:space="preserve">   DEXTRINE ET AUTRES AMIDONS ET FÉCULES MODIFIÉS [LES AMIDONS ET FÉCULES PRÉ-GÉLATINISÉS OU ESTÉRIFIÉS, P.EX.]</v>
      </c>
      <c r="C505">
        <v>7627829</v>
      </c>
      <c r="D505">
        <v>10382.81</v>
      </c>
    </row>
    <row r="506" spans="1:4" x14ac:dyDescent="0.25">
      <c r="A506" t="str">
        <f>T("   391590")</f>
        <v xml:space="preserve">   391590</v>
      </c>
      <c r="B506"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506">
        <v>404375</v>
      </c>
      <c r="D506">
        <v>16175</v>
      </c>
    </row>
    <row r="507" spans="1:4" x14ac:dyDescent="0.25">
      <c r="A507" t="str">
        <f>T("   391723")</f>
        <v xml:space="preserve">   391723</v>
      </c>
      <c r="B507" t="str">
        <f>T("   TUBES ET TUYAUX RIGIDES, EN POLYMÈRES DU CHLORURE DE VINYLE")</f>
        <v xml:space="preserve">   TUBES ET TUYAUX RIGIDES, EN POLYMÈRES DU CHLORURE DE VINYLE</v>
      </c>
      <c r="C507">
        <v>1600000</v>
      </c>
      <c r="D507">
        <v>1537.2</v>
      </c>
    </row>
    <row r="508" spans="1:4" x14ac:dyDescent="0.25">
      <c r="A508" t="str">
        <f>T("   391739")</f>
        <v xml:space="preserve">   391739</v>
      </c>
      <c r="B508"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508">
        <v>27813500</v>
      </c>
      <c r="D508">
        <v>18462.25</v>
      </c>
    </row>
    <row r="509" spans="1:4" x14ac:dyDescent="0.25">
      <c r="A509" t="str">
        <f>T("   401019")</f>
        <v xml:space="preserve">   401019</v>
      </c>
      <c r="B509"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509">
        <v>5320500</v>
      </c>
      <c r="D509">
        <v>7800</v>
      </c>
    </row>
    <row r="510" spans="1:4" x14ac:dyDescent="0.25">
      <c r="A510" t="str">
        <f>T("   481920")</f>
        <v xml:space="preserve">   481920</v>
      </c>
      <c r="B510" t="str">
        <f>T("   Boîtes et cartonnages, pliants, en papier ou en carton non ondulé")</f>
        <v xml:space="preserve">   Boîtes et cartonnages, pliants, en papier ou en carton non ondulé</v>
      </c>
      <c r="C510">
        <v>6194400</v>
      </c>
      <c r="D510">
        <v>23632</v>
      </c>
    </row>
    <row r="511" spans="1:4" x14ac:dyDescent="0.25">
      <c r="A511" t="str">
        <f>T("   520812")</f>
        <v xml:space="preserve">   520812</v>
      </c>
      <c r="B511" t="str">
        <f>T("   Tissus de coton, écrus, à armure toile, contenant &gt;= 85% en poids de coton, d'un poids &gt; 100 g/m² mais &lt;= 200 g/m²")</f>
        <v xml:space="preserve">   Tissus de coton, écrus, à armure toile, contenant &gt;= 85% en poids de coton, d'un poids &gt; 100 g/m² mais &lt;= 200 g/m²</v>
      </c>
      <c r="C511">
        <v>1430510843</v>
      </c>
      <c r="D511">
        <v>516150</v>
      </c>
    </row>
    <row r="512" spans="1:4" x14ac:dyDescent="0.25">
      <c r="A512" t="str">
        <f>T("   630900")</f>
        <v xml:space="preserve">   630900</v>
      </c>
      <c r="B512" t="s">
        <v>63</v>
      </c>
      <c r="C512">
        <v>4066541</v>
      </c>
      <c r="D512">
        <v>3124</v>
      </c>
    </row>
    <row r="513" spans="1:4" x14ac:dyDescent="0.25">
      <c r="A513" t="str">
        <f>T("   720429")</f>
        <v xml:space="preserve">   720429</v>
      </c>
      <c r="B513"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513">
        <v>700000</v>
      </c>
      <c r="D513">
        <v>14000</v>
      </c>
    </row>
    <row r="514" spans="1:4" x14ac:dyDescent="0.25">
      <c r="A514" t="str">
        <f>T("   721499")</f>
        <v xml:space="preserve">   721499</v>
      </c>
      <c r="B514" t="s">
        <v>77</v>
      </c>
      <c r="C514">
        <v>2401536</v>
      </c>
      <c r="D514">
        <v>3960</v>
      </c>
    </row>
    <row r="515" spans="1:4" x14ac:dyDescent="0.25">
      <c r="A515" t="str">
        <f>T("   732399")</f>
        <v xml:space="preserve">   732399</v>
      </c>
      <c r="B515" t="s">
        <v>83</v>
      </c>
      <c r="C515">
        <v>503000</v>
      </c>
      <c r="D515">
        <v>500</v>
      </c>
    </row>
    <row r="516" spans="1:4" x14ac:dyDescent="0.25">
      <c r="A516" t="str">
        <f>T("   741819")</f>
        <v xml:space="preserve">   741819</v>
      </c>
      <c r="B516" t="s">
        <v>85</v>
      </c>
      <c r="C516">
        <v>1180728</v>
      </c>
      <c r="D516">
        <v>200</v>
      </c>
    </row>
    <row r="517" spans="1:4" x14ac:dyDescent="0.25">
      <c r="A517" t="str">
        <f>T("   760421")</f>
        <v xml:space="preserve">   760421</v>
      </c>
      <c r="B517" t="str">
        <f>T("   Profilés creux en alliages d'aluminium, n.d.a.")</f>
        <v xml:space="preserve">   Profilés creux en alliages d'aluminium, n.d.a.</v>
      </c>
      <c r="C517">
        <v>3398410</v>
      </c>
      <c r="D517">
        <v>13174</v>
      </c>
    </row>
    <row r="518" spans="1:4" x14ac:dyDescent="0.25">
      <c r="A518" t="str">
        <f>T("   841829")</f>
        <v xml:space="preserve">   841829</v>
      </c>
      <c r="B518" t="str">
        <f>T("   Réfrigérateurs ménagers à absorption, non-électriques")</f>
        <v xml:space="preserve">   Réfrigérateurs ménagers à absorption, non-électriques</v>
      </c>
      <c r="C518">
        <v>41985575</v>
      </c>
      <c r="D518">
        <v>12700</v>
      </c>
    </row>
    <row r="519" spans="1:4" x14ac:dyDescent="0.25">
      <c r="A519" t="str">
        <f>T("   842549")</f>
        <v xml:space="preserve">   842549</v>
      </c>
      <c r="B519" t="str">
        <f>T("   Crics et vérins, non hydrauliques")</f>
        <v xml:space="preserve">   Crics et vérins, non hydrauliques</v>
      </c>
      <c r="C519">
        <v>958700</v>
      </c>
      <c r="D519">
        <v>170</v>
      </c>
    </row>
    <row r="520" spans="1:4" x14ac:dyDescent="0.25">
      <c r="A520" t="str">
        <f>T("   842919")</f>
        <v xml:space="preserve">   842919</v>
      </c>
      <c r="B520" t="str">
        <f>T("   Bouteurs 'bulldozers' et bouteurs biais 'angledozers', sur roues")</f>
        <v xml:space="preserve">   Bouteurs 'bulldozers' et bouteurs biais 'angledozers', sur roues</v>
      </c>
      <c r="C520">
        <v>82238114</v>
      </c>
      <c r="D520">
        <v>10886</v>
      </c>
    </row>
    <row r="521" spans="1:4" x14ac:dyDescent="0.25">
      <c r="A521" t="str">
        <f>T("   842920")</f>
        <v xml:space="preserve">   842920</v>
      </c>
      <c r="B521" t="str">
        <f>T("   Niveleuses autopropulsées")</f>
        <v xml:space="preserve">   Niveleuses autopropulsées</v>
      </c>
      <c r="C521">
        <v>150915935</v>
      </c>
      <c r="D521">
        <v>96576</v>
      </c>
    </row>
    <row r="522" spans="1:4" x14ac:dyDescent="0.25">
      <c r="A522" t="str">
        <f>T("   842940")</f>
        <v xml:space="preserve">   842940</v>
      </c>
      <c r="B522" t="str">
        <f>T("   Rouleaux compresseurs et autres compacteuses, autopropulsés")</f>
        <v xml:space="preserve">   Rouleaux compresseurs et autres compacteuses, autopropulsés</v>
      </c>
      <c r="C522">
        <v>30468880</v>
      </c>
      <c r="D522">
        <v>95000</v>
      </c>
    </row>
    <row r="523" spans="1:4" x14ac:dyDescent="0.25">
      <c r="A523" t="str">
        <f>T("   842951")</f>
        <v xml:space="preserve">   842951</v>
      </c>
      <c r="B523" t="str">
        <f>T("   Chargeuses et chargeuses-pelleteuses, à chargement frontal, autopropulsées")</f>
        <v xml:space="preserve">   Chargeuses et chargeuses-pelleteuses, à chargement frontal, autopropulsées</v>
      </c>
      <c r="C523">
        <v>100083237</v>
      </c>
      <c r="D523">
        <v>31395</v>
      </c>
    </row>
    <row r="524" spans="1:4" x14ac:dyDescent="0.25">
      <c r="A524" t="str">
        <f>T("   842959")</f>
        <v xml:space="preserve">   842959</v>
      </c>
      <c r="B52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524">
        <v>127319190</v>
      </c>
      <c r="D524">
        <v>92800</v>
      </c>
    </row>
    <row r="525" spans="1:4" x14ac:dyDescent="0.25">
      <c r="A525" t="str">
        <f>T("   844319")</f>
        <v xml:space="preserve">   844319</v>
      </c>
      <c r="B525" t="s">
        <v>97</v>
      </c>
      <c r="C525">
        <v>2000000</v>
      </c>
      <c r="D525">
        <v>820</v>
      </c>
    </row>
    <row r="526" spans="1:4" x14ac:dyDescent="0.25">
      <c r="A526" t="str">
        <f>T("   845929")</f>
        <v xml:space="preserve">   845929</v>
      </c>
      <c r="B526" t="s">
        <v>99</v>
      </c>
      <c r="C526">
        <v>7358000</v>
      </c>
      <c r="D526">
        <v>10000</v>
      </c>
    </row>
    <row r="527" spans="1:4" x14ac:dyDescent="0.25">
      <c r="A527" t="str">
        <f>T("   847110")</f>
        <v xml:space="preserve">   847110</v>
      </c>
      <c r="B527" t="str">
        <f>T("   Machines automatiques de traitement de l'information, analogiques ou hybrides")</f>
        <v xml:space="preserve">   Machines automatiques de traitement de l'information, analogiques ou hybrides</v>
      </c>
      <c r="C527">
        <v>544447</v>
      </c>
      <c r="D527">
        <v>60</v>
      </c>
    </row>
    <row r="528" spans="1:4" x14ac:dyDescent="0.25">
      <c r="A528" t="str">
        <f>T("   847410")</f>
        <v xml:space="preserve">   847410</v>
      </c>
      <c r="B528"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528">
        <v>1198375</v>
      </c>
      <c r="D528">
        <v>4000</v>
      </c>
    </row>
    <row r="529" spans="1:4" x14ac:dyDescent="0.25">
      <c r="A529" t="str">
        <f>T("   850680")</f>
        <v xml:space="preserve">   850680</v>
      </c>
      <c r="B529"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529">
        <v>4800000</v>
      </c>
      <c r="D529">
        <v>48000</v>
      </c>
    </row>
    <row r="530" spans="1:4" x14ac:dyDescent="0.25">
      <c r="A530" t="str">
        <f>T("   850790")</f>
        <v xml:space="preserve">   850790</v>
      </c>
      <c r="B530" t="str">
        <f>T("   Plaques, séparateurs et autres parties d'accumulateurs électriques n.d.a.")</f>
        <v xml:space="preserve">   Plaques, séparateurs et autres parties d'accumulateurs électriques n.d.a.</v>
      </c>
      <c r="C530">
        <v>12350000</v>
      </c>
      <c r="D530">
        <v>247000</v>
      </c>
    </row>
    <row r="531" spans="1:4" x14ac:dyDescent="0.25">
      <c r="A531" t="str">
        <f>T("   870323")</f>
        <v xml:space="preserve">   870323</v>
      </c>
      <c r="B531" t="s">
        <v>104</v>
      </c>
      <c r="C531">
        <v>8434575</v>
      </c>
      <c r="D531">
        <v>3506</v>
      </c>
    </row>
    <row r="532" spans="1:4" x14ac:dyDescent="0.25">
      <c r="A532" t="str">
        <f>T("   940370")</f>
        <v xml:space="preserve">   940370</v>
      </c>
      <c r="B532"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532">
        <v>11862000</v>
      </c>
      <c r="D532">
        <v>8750</v>
      </c>
    </row>
    <row r="533" spans="1:4" x14ac:dyDescent="0.25">
      <c r="A533" t="str">
        <f>T("   940380")</f>
        <v xml:space="preserve">   940380</v>
      </c>
      <c r="B533" t="str">
        <f>T("   Meubles en rotin, osier, bambou ou autres matières (sauf métal, bois et matières plastiques)")</f>
        <v xml:space="preserve">   Meubles en rotin, osier, bambou ou autres matières (sauf métal, bois et matières plastiques)</v>
      </c>
      <c r="C533">
        <v>1500000</v>
      </c>
      <c r="D533">
        <v>1200</v>
      </c>
    </row>
    <row r="534" spans="1:4" x14ac:dyDescent="0.25">
      <c r="A534" t="str">
        <f>T("   970300")</f>
        <v xml:space="preserve">   970300</v>
      </c>
      <c r="B534" t="str">
        <f>T("   Productions originales de l'art statuaire ou de la sculpture, en toutes matières")</f>
        <v xml:space="preserve">   Productions originales de l'art statuaire ou de la sculpture, en toutes matières</v>
      </c>
      <c r="C534">
        <v>327980</v>
      </c>
      <c r="D534">
        <v>23</v>
      </c>
    </row>
    <row r="535" spans="1:4" x14ac:dyDescent="0.25">
      <c r="A535" t="str">
        <f>T("GN")</f>
        <v>GN</v>
      </c>
      <c r="B535" t="str">
        <f>T("Guinée")</f>
        <v>Guinée</v>
      </c>
    </row>
    <row r="536" spans="1:4" x14ac:dyDescent="0.25">
      <c r="A536" t="str">
        <f>T("   ZZ_Total_Produit_SH6")</f>
        <v xml:space="preserve">   ZZ_Total_Produit_SH6</v>
      </c>
      <c r="B536" t="str">
        <f>T("   ZZ_Total_Produit_SH6")</f>
        <v xml:space="preserve">   ZZ_Total_Produit_SH6</v>
      </c>
      <c r="C536">
        <v>131494342</v>
      </c>
      <c r="D536">
        <v>297610</v>
      </c>
    </row>
    <row r="537" spans="1:4" x14ac:dyDescent="0.25">
      <c r="A537" t="str">
        <f>T("   120710")</f>
        <v xml:space="preserve">   120710</v>
      </c>
      <c r="B537" t="str">
        <f>T("   NOIX ET AMANDES DE PALMISTES")</f>
        <v xml:space="preserve">   NOIX ET AMANDES DE PALMISTES</v>
      </c>
      <c r="C537">
        <v>48016052</v>
      </c>
      <c r="D537">
        <v>490</v>
      </c>
    </row>
    <row r="538" spans="1:4" x14ac:dyDescent="0.25">
      <c r="A538" t="str">
        <f>T("   330499")</f>
        <v xml:space="preserve">   330499</v>
      </c>
      <c r="B538" t="s">
        <v>38</v>
      </c>
      <c r="C538">
        <v>1051500</v>
      </c>
      <c r="D538">
        <v>800</v>
      </c>
    </row>
    <row r="539" spans="1:4" x14ac:dyDescent="0.25">
      <c r="A539" t="str">
        <f>T("   700721")</f>
        <v xml:space="preserve">   700721</v>
      </c>
      <c r="B539" t="s">
        <v>73</v>
      </c>
      <c r="C539">
        <v>170000</v>
      </c>
      <c r="D539">
        <v>125</v>
      </c>
    </row>
    <row r="540" spans="1:4" x14ac:dyDescent="0.25">
      <c r="A540" t="str">
        <f>T("   701090")</f>
        <v xml:space="preserve">   701090</v>
      </c>
      <c r="B540" t="s">
        <v>74</v>
      </c>
      <c r="C540">
        <v>30293020</v>
      </c>
      <c r="D540">
        <v>235440</v>
      </c>
    </row>
    <row r="541" spans="1:4" x14ac:dyDescent="0.25">
      <c r="A541" t="str">
        <f>T("   761519")</f>
        <v xml:space="preserve">   761519</v>
      </c>
      <c r="B541" t="s">
        <v>88</v>
      </c>
      <c r="C541">
        <v>1332140</v>
      </c>
      <c r="D541">
        <v>5230</v>
      </c>
    </row>
    <row r="542" spans="1:4" x14ac:dyDescent="0.25">
      <c r="A542" t="str">
        <f>T("   840820")</f>
        <v xml:space="preserve">   840820</v>
      </c>
      <c r="B542" t="s">
        <v>91</v>
      </c>
      <c r="C542">
        <v>2520000</v>
      </c>
      <c r="D542">
        <v>1150</v>
      </c>
    </row>
    <row r="543" spans="1:4" x14ac:dyDescent="0.25">
      <c r="A543" t="str">
        <f>T("   841381")</f>
        <v xml:space="preserve">   841381</v>
      </c>
      <c r="B543" t="s">
        <v>93</v>
      </c>
      <c r="C543">
        <v>2339129</v>
      </c>
      <c r="D543">
        <v>5000</v>
      </c>
    </row>
    <row r="544" spans="1:4" x14ac:dyDescent="0.25">
      <c r="A544" t="str">
        <f>T("   844359")</f>
        <v xml:space="preserve">   844359</v>
      </c>
      <c r="B544" t="s">
        <v>98</v>
      </c>
      <c r="C544">
        <v>650000</v>
      </c>
      <c r="D544">
        <v>800</v>
      </c>
    </row>
    <row r="545" spans="1:4" x14ac:dyDescent="0.25">
      <c r="A545" t="str">
        <f>T("   850110")</f>
        <v xml:space="preserve">   850110</v>
      </c>
      <c r="B545" t="str">
        <f>T("   Moteurs d'une puissance &lt;= 37,5 W")</f>
        <v xml:space="preserve">   Moteurs d'une puissance &lt;= 37,5 W</v>
      </c>
      <c r="C545">
        <v>2000000</v>
      </c>
      <c r="D545">
        <v>6400</v>
      </c>
    </row>
    <row r="546" spans="1:4" x14ac:dyDescent="0.25">
      <c r="A546" t="str">
        <f>T("   870322")</f>
        <v xml:space="preserve">   870322</v>
      </c>
      <c r="B546" t="s">
        <v>103</v>
      </c>
      <c r="C546">
        <v>2000000</v>
      </c>
      <c r="D546">
        <v>1660</v>
      </c>
    </row>
    <row r="547" spans="1:4" x14ac:dyDescent="0.25">
      <c r="A547" t="str">
        <f>T("   870323")</f>
        <v xml:space="preserve">   870323</v>
      </c>
      <c r="B547" t="s">
        <v>104</v>
      </c>
      <c r="C547">
        <v>19242383</v>
      </c>
      <c r="D547">
        <v>3080</v>
      </c>
    </row>
    <row r="548" spans="1:4" x14ac:dyDescent="0.25">
      <c r="A548" t="str">
        <f>T("   871120")</f>
        <v xml:space="preserve">   871120</v>
      </c>
      <c r="B548" t="str">
        <f>T("   Motocycles à moteur à piston alternatif, cylindrée &gt; 50 cm³ mais &lt;= 250 cm³")</f>
        <v xml:space="preserve">   Motocycles à moteur à piston alternatif, cylindrée &gt; 50 cm³ mais &lt;= 250 cm³</v>
      </c>
      <c r="C548">
        <v>15060118</v>
      </c>
      <c r="D548">
        <v>8255</v>
      </c>
    </row>
    <row r="549" spans="1:4" x14ac:dyDescent="0.25">
      <c r="A549" t="str">
        <f>T("   940350")</f>
        <v xml:space="preserve">   940350</v>
      </c>
      <c r="B549" t="str">
        <f>T("   Meubles pour chambres à coucher, en bois (sauf sièges)")</f>
        <v xml:space="preserve">   Meubles pour chambres à coucher, en bois (sauf sièges)</v>
      </c>
      <c r="C549">
        <v>2400000</v>
      </c>
      <c r="D549">
        <v>15400</v>
      </c>
    </row>
    <row r="550" spans="1:4" x14ac:dyDescent="0.25">
      <c r="A550" t="str">
        <f>T("   940380")</f>
        <v xml:space="preserve">   940380</v>
      </c>
      <c r="B550" t="str">
        <f>T("   Meubles en rotin, osier, bambou ou autres matières (sauf métal, bois et matières plastiques)")</f>
        <v xml:space="preserve">   Meubles en rotin, osier, bambou ou autres matières (sauf métal, bois et matières plastiques)</v>
      </c>
      <c r="C550">
        <v>4420000</v>
      </c>
      <c r="D550">
        <v>13780</v>
      </c>
    </row>
    <row r="551" spans="1:4" x14ac:dyDescent="0.25">
      <c r="A551" t="str">
        <f>T("GP")</f>
        <v>GP</v>
      </c>
      <c r="B551" t="str">
        <f>T("Guadeloupe")</f>
        <v>Guadeloupe</v>
      </c>
    </row>
    <row r="552" spans="1:4" x14ac:dyDescent="0.25">
      <c r="A552" t="str">
        <f>T("   ZZ_Total_Produit_SH6")</f>
        <v xml:space="preserve">   ZZ_Total_Produit_SH6</v>
      </c>
      <c r="B552" t="str">
        <f>T("   ZZ_Total_Produit_SH6")</f>
        <v xml:space="preserve">   ZZ_Total_Produit_SH6</v>
      </c>
      <c r="C552">
        <v>5491000</v>
      </c>
      <c r="D552">
        <v>6800</v>
      </c>
    </row>
    <row r="553" spans="1:4" x14ac:dyDescent="0.25">
      <c r="A553" t="str">
        <f>T("   620590")</f>
        <v xml:space="preserve">   620590</v>
      </c>
      <c r="B55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53">
        <v>500000</v>
      </c>
      <c r="D553">
        <v>450</v>
      </c>
    </row>
    <row r="554" spans="1:4" x14ac:dyDescent="0.25">
      <c r="A554" t="str">
        <f>T("   732394")</f>
        <v xml:space="preserve">   732394</v>
      </c>
      <c r="B554" t="s">
        <v>82</v>
      </c>
      <c r="C554">
        <v>200000</v>
      </c>
      <c r="D554">
        <v>350</v>
      </c>
    </row>
    <row r="555" spans="1:4" x14ac:dyDescent="0.25">
      <c r="A555" t="str">
        <f>T("   732399")</f>
        <v xml:space="preserve">   732399</v>
      </c>
      <c r="B555" t="s">
        <v>83</v>
      </c>
      <c r="C555">
        <v>2100000</v>
      </c>
      <c r="D555">
        <v>2800</v>
      </c>
    </row>
    <row r="556" spans="1:4" x14ac:dyDescent="0.25">
      <c r="A556" t="str">
        <f>T("   732490")</f>
        <v xml:space="preserve">   732490</v>
      </c>
      <c r="B556" t="s">
        <v>84</v>
      </c>
      <c r="C556">
        <v>1891000</v>
      </c>
      <c r="D556">
        <v>2000</v>
      </c>
    </row>
    <row r="557" spans="1:4" x14ac:dyDescent="0.25">
      <c r="A557" t="str">
        <f>T("   940350")</f>
        <v xml:space="preserve">   940350</v>
      </c>
      <c r="B557" t="str">
        <f>T("   Meubles pour chambres à coucher, en bois (sauf sièges)")</f>
        <v xml:space="preserve">   Meubles pour chambres à coucher, en bois (sauf sièges)</v>
      </c>
      <c r="C557">
        <v>800000</v>
      </c>
      <c r="D557">
        <v>1200</v>
      </c>
    </row>
    <row r="558" spans="1:4" x14ac:dyDescent="0.25">
      <c r="A558" t="str">
        <f>T("GQ")</f>
        <v>GQ</v>
      </c>
      <c r="B558" t="str">
        <f>T("Guinée Equatoriale")</f>
        <v>Guinée Equatoriale</v>
      </c>
    </row>
    <row r="559" spans="1:4" x14ac:dyDescent="0.25">
      <c r="A559" t="str">
        <f>T("   ZZ_Total_Produit_SH6")</f>
        <v xml:space="preserve">   ZZ_Total_Produit_SH6</v>
      </c>
      <c r="B559" t="str">
        <f>T("   ZZ_Total_Produit_SH6")</f>
        <v xml:space="preserve">   ZZ_Total_Produit_SH6</v>
      </c>
      <c r="C559">
        <v>59291602</v>
      </c>
      <c r="D559">
        <v>123848</v>
      </c>
    </row>
    <row r="560" spans="1:4" x14ac:dyDescent="0.25">
      <c r="A560" t="str">
        <f>T("   150200")</f>
        <v xml:space="preserve">   150200</v>
      </c>
      <c r="B560" t="str">
        <f>T("   GRAISSES DES ANIMAUX DES ESPÈCES BOVINE, OVINE OU CAPRINE (SAUF STÉARINE SOLAIRE, HUILE DE SAINDOUX, OLÉOSTÉARINE, OLÉOMARGARINE ET HUILE DE SUIF, NON-ÉMULSIONNÉES, NI MÉLANGÉES, NI AUTREMENT PRÉPARÉES)")</f>
        <v xml:space="preserve">   GRAISSES DES ANIMAUX DES ESPÈCES BOVINE, OVINE OU CAPRINE (SAUF STÉARINE SOLAIRE, HUILE DE SAINDOUX, OLÉOSTÉARINE, OLÉOMARGARINE ET HUILE DE SUIF, NON-ÉMULSIONNÉES, NI MÉLANGÉES, NI AUTREMENT PRÉPARÉES)</v>
      </c>
      <c r="C560">
        <v>1302450</v>
      </c>
      <c r="D560">
        <v>900</v>
      </c>
    </row>
    <row r="561" spans="1:4" x14ac:dyDescent="0.25">
      <c r="A561" t="str">
        <f>T("   190230")</f>
        <v xml:space="preserve">   190230</v>
      </c>
      <c r="B561" t="str">
        <f>T("   Pâtes alimentaires, cuites ou autrement préparées (à l'excl. des pâtes alimentaires farcies)")</f>
        <v xml:space="preserve">   Pâtes alimentaires, cuites ou autrement préparées (à l'excl. des pâtes alimentaires farcies)</v>
      </c>
      <c r="C561">
        <v>8400000</v>
      </c>
      <c r="D561">
        <v>16000</v>
      </c>
    </row>
    <row r="562" spans="1:4" x14ac:dyDescent="0.25">
      <c r="A562" t="str">
        <f>T("   200990")</f>
        <v xml:space="preserve">   200990</v>
      </c>
      <c r="B56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62">
        <v>5511000</v>
      </c>
      <c r="D562">
        <v>18900</v>
      </c>
    </row>
    <row r="563" spans="1:4" x14ac:dyDescent="0.25">
      <c r="A563" t="str">
        <f>T("   252329")</f>
        <v xml:space="preserve">   252329</v>
      </c>
      <c r="B563" t="str">
        <f>T("   Ciment Portland normal ou modéré (à l'excl. des ciments Portland blancs, même colorés artificiellement)")</f>
        <v xml:space="preserve">   Ciment Portland normal ou modéré (à l'excl. des ciments Portland blancs, même colorés artificiellement)</v>
      </c>
      <c r="C563">
        <v>1575000</v>
      </c>
      <c r="D563">
        <v>1100</v>
      </c>
    </row>
    <row r="564" spans="1:4" x14ac:dyDescent="0.25">
      <c r="A564" t="str">
        <f>T("   391739")</f>
        <v xml:space="preserve">   391739</v>
      </c>
      <c r="B56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564">
        <v>1000000</v>
      </c>
      <c r="D564">
        <v>1500</v>
      </c>
    </row>
    <row r="565" spans="1:4" x14ac:dyDescent="0.25">
      <c r="A565" t="str">
        <f>T("   401219")</f>
        <v xml:space="preserve">   401219</v>
      </c>
      <c r="B565"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565">
        <v>2400000</v>
      </c>
      <c r="D565">
        <v>8000</v>
      </c>
    </row>
    <row r="566" spans="1:4" x14ac:dyDescent="0.25">
      <c r="A566" t="str">
        <f>T("   730820")</f>
        <v xml:space="preserve">   730820</v>
      </c>
      <c r="B566" t="str">
        <f>T("   Tours et pylônes, en fer ou en acier")</f>
        <v xml:space="preserve">   Tours et pylônes, en fer ou en acier</v>
      </c>
      <c r="C566">
        <v>1559582</v>
      </c>
      <c r="D566">
        <v>8000</v>
      </c>
    </row>
    <row r="567" spans="1:4" x14ac:dyDescent="0.25">
      <c r="A567" t="str">
        <f>T("   840790")</f>
        <v xml:space="preserve">   840790</v>
      </c>
      <c r="B567" t="s">
        <v>90</v>
      </c>
      <c r="C567">
        <v>300000</v>
      </c>
      <c r="D567">
        <v>250</v>
      </c>
    </row>
    <row r="568" spans="1:4" x14ac:dyDescent="0.25">
      <c r="A568" t="str">
        <f>T("   840820")</f>
        <v xml:space="preserve">   840820</v>
      </c>
      <c r="B568" t="s">
        <v>91</v>
      </c>
      <c r="C568">
        <v>3095000</v>
      </c>
      <c r="D568">
        <v>3520</v>
      </c>
    </row>
    <row r="569" spans="1:4" x14ac:dyDescent="0.25">
      <c r="A569" t="str">
        <f>T("   841829")</f>
        <v xml:space="preserve">   841829</v>
      </c>
      <c r="B569" t="str">
        <f>T("   Réfrigérateurs ménagers à absorption, non-électriques")</f>
        <v xml:space="preserve">   Réfrigérateurs ménagers à absorption, non-électriques</v>
      </c>
      <c r="C569">
        <v>120000</v>
      </c>
      <c r="D569">
        <v>50</v>
      </c>
    </row>
    <row r="570" spans="1:4" x14ac:dyDescent="0.25">
      <c r="A570" t="str">
        <f>T("   841850")</f>
        <v xml:space="preserve">   841850</v>
      </c>
      <c r="B570" t="s">
        <v>94</v>
      </c>
      <c r="C570">
        <v>310000</v>
      </c>
      <c r="D570">
        <v>6</v>
      </c>
    </row>
    <row r="571" spans="1:4" x14ac:dyDescent="0.25">
      <c r="A571" t="str">
        <f>T("   846592")</f>
        <v xml:space="preserve">   846592</v>
      </c>
      <c r="B571" t="s">
        <v>100</v>
      </c>
      <c r="C571">
        <v>8200000</v>
      </c>
      <c r="D571">
        <v>30000</v>
      </c>
    </row>
    <row r="572" spans="1:4" x14ac:dyDescent="0.25">
      <c r="A572" t="str">
        <f>T("   852812")</f>
        <v xml:space="preserve">   852812</v>
      </c>
      <c r="B57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72">
        <v>180000</v>
      </c>
      <c r="D572">
        <v>5</v>
      </c>
    </row>
    <row r="573" spans="1:4" x14ac:dyDescent="0.25">
      <c r="A573" t="str">
        <f>T("   870322")</f>
        <v xml:space="preserve">   870322</v>
      </c>
      <c r="B573" t="s">
        <v>103</v>
      </c>
      <c r="C573">
        <v>12651311</v>
      </c>
      <c r="D573">
        <v>9373</v>
      </c>
    </row>
    <row r="574" spans="1:4" x14ac:dyDescent="0.25">
      <c r="A574" t="str">
        <f>T("   870323")</f>
        <v xml:space="preserve">   870323</v>
      </c>
      <c r="B574" t="s">
        <v>104</v>
      </c>
      <c r="C574">
        <v>3400000</v>
      </c>
      <c r="D574">
        <v>8699</v>
      </c>
    </row>
    <row r="575" spans="1:4" x14ac:dyDescent="0.25">
      <c r="A575" t="str">
        <f>T("   870421")</f>
        <v xml:space="preserve">   870421</v>
      </c>
      <c r="B575" t="s">
        <v>108</v>
      </c>
      <c r="C575">
        <v>1000000</v>
      </c>
      <c r="D575">
        <v>3540</v>
      </c>
    </row>
    <row r="576" spans="1:4" x14ac:dyDescent="0.25">
      <c r="A576" t="str">
        <f>T("   870600")</f>
        <v xml:space="preserve">   870600</v>
      </c>
      <c r="B576" t="s">
        <v>113</v>
      </c>
      <c r="C576">
        <v>500000</v>
      </c>
      <c r="D576">
        <v>70</v>
      </c>
    </row>
    <row r="577" spans="1:4" x14ac:dyDescent="0.25">
      <c r="A577" t="str">
        <f>T("   870899")</f>
        <v xml:space="preserve">   870899</v>
      </c>
      <c r="B57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77">
        <v>2816200</v>
      </c>
      <c r="D577">
        <v>3000</v>
      </c>
    </row>
    <row r="578" spans="1:4" x14ac:dyDescent="0.25">
      <c r="A578" t="str">
        <f>T("   871120")</f>
        <v xml:space="preserve">   871120</v>
      </c>
      <c r="B578" t="str">
        <f>T("   Motocycles à moteur à piston alternatif, cylindrée &gt; 50 cm³ mais &lt;= 250 cm³")</f>
        <v xml:space="preserve">   Motocycles à moteur à piston alternatif, cylindrée &gt; 50 cm³ mais &lt;= 250 cm³</v>
      </c>
      <c r="C578">
        <v>285000</v>
      </c>
      <c r="D578">
        <v>80</v>
      </c>
    </row>
    <row r="579" spans="1:4" x14ac:dyDescent="0.25">
      <c r="A579" t="str">
        <f>T("   940161")</f>
        <v xml:space="preserve">   940161</v>
      </c>
      <c r="B579" t="str">
        <f>T("   Sièges, avec bâti en bois, rembourrés (non transformables en lits)")</f>
        <v xml:space="preserve">   Sièges, avec bâti en bois, rembourrés (non transformables en lits)</v>
      </c>
      <c r="C579">
        <v>810000</v>
      </c>
      <c r="D579">
        <v>15</v>
      </c>
    </row>
    <row r="580" spans="1:4" x14ac:dyDescent="0.25">
      <c r="A580" t="str">
        <f>T("   940350")</f>
        <v xml:space="preserve">   940350</v>
      </c>
      <c r="B580" t="str">
        <f>T("   Meubles pour chambres à coucher, en bois (sauf sièges)")</f>
        <v xml:space="preserve">   Meubles pour chambres à coucher, en bois (sauf sièges)</v>
      </c>
      <c r="C580">
        <v>200000</v>
      </c>
      <c r="D580">
        <v>10</v>
      </c>
    </row>
    <row r="581" spans="1:4" x14ac:dyDescent="0.25">
      <c r="A581" t="str">
        <f>T("   940380")</f>
        <v xml:space="preserve">   940380</v>
      </c>
      <c r="B581" t="str">
        <f>T("   Meubles en rotin, osier, bambou ou autres matières (sauf métal, bois et matières plastiques)")</f>
        <v xml:space="preserve">   Meubles en rotin, osier, bambou ou autres matières (sauf métal, bois et matières plastiques)</v>
      </c>
      <c r="C581">
        <v>3236059</v>
      </c>
      <c r="D581">
        <v>10800</v>
      </c>
    </row>
    <row r="582" spans="1:4" x14ac:dyDescent="0.25">
      <c r="A582" t="str">
        <f>T("   940429")</f>
        <v xml:space="preserve">   940429</v>
      </c>
      <c r="B582"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582">
        <v>410000</v>
      </c>
      <c r="D582">
        <v>5</v>
      </c>
    </row>
    <row r="583" spans="1:4" x14ac:dyDescent="0.25">
      <c r="A583" t="str">
        <f>T("   950590")</f>
        <v xml:space="preserve">   950590</v>
      </c>
      <c r="B583" t="str">
        <f>T("   Articles pour fêtes, carnaval ou autres divertissements, y.c. les articles de magie et articles-surprises, n.d.a.")</f>
        <v xml:space="preserve">   Articles pour fêtes, carnaval ou autres divertissements, y.c. les articles de magie et articles-surprises, n.d.a.</v>
      </c>
      <c r="C583">
        <v>30000</v>
      </c>
      <c r="D583">
        <v>25</v>
      </c>
    </row>
    <row r="584" spans="1:4" x14ac:dyDescent="0.25">
      <c r="A584" t="str">
        <f>T("GR")</f>
        <v>GR</v>
      </c>
      <c r="B584" t="str">
        <f>T("Grèce")</f>
        <v>Grèce</v>
      </c>
    </row>
    <row r="585" spans="1:4" x14ac:dyDescent="0.25">
      <c r="A585" t="str">
        <f>T("   ZZ_Total_Produit_SH6")</f>
        <v xml:space="preserve">   ZZ_Total_Produit_SH6</v>
      </c>
      <c r="B585" t="str">
        <f>T("   ZZ_Total_Produit_SH6")</f>
        <v xml:space="preserve">   ZZ_Total_Produit_SH6</v>
      </c>
      <c r="C585">
        <v>500000</v>
      </c>
      <c r="D585">
        <v>10000</v>
      </c>
    </row>
    <row r="586" spans="1:4" x14ac:dyDescent="0.25">
      <c r="A586" t="str">
        <f>T("   720430")</f>
        <v xml:space="preserve">   720430</v>
      </c>
      <c r="B586"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86">
        <v>500000</v>
      </c>
      <c r="D586">
        <v>10000</v>
      </c>
    </row>
    <row r="587" spans="1:4" x14ac:dyDescent="0.25">
      <c r="A587" t="str">
        <f>T("GY")</f>
        <v>GY</v>
      </c>
      <c r="B587" t="str">
        <f>T("Guyane")</f>
        <v>Guyane</v>
      </c>
    </row>
    <row r="588" spans="1:4" x14ac:dyDescent="0.25">
      <c r="A588" t="str">
        <f>T("   ZZ_Total_Produit_SH6")</f>
        <v xml:space="preserve">   ZZ_Total_Produit_SH6</v>
      </c>
      <c r="B588" t="str">
        <f>T("   ZZ_Total_Produit_SH6")</f>
        <v xml:space="preserve">   ZZ_Total_Produit_SH6</v>
      </c>
      <c r="C588">
        <v>11788936</v>
      </c>
      <c r="D588">
        <v>1740</v>
      </c>
    </row>
    <row r="589" spans="1:4" x14ac:dyDescent="0.25">
      <c r="A589" t="str">
        <f>T("   620590")</f>
        <v xml:space="preserve">   620590</v>
      </c>
      <c r="B58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89">
        <v>200000</v>
      </c>
      <c r="D589">
        <v>100</v>
      </c>
    </row>
    <row r="590" spans="1:4" x14ac:dyDescent="0.25">
      <c r="A590" t="str">
        <f>T("   870323")</f>
        <v xml:space="preserve">   870323</v>
      </c>
      <c r="B590" t="s">
        <v>104</v>
      </c>
      <c r="C590">
        <v>11188936</v>
      </c>
      <c r="D590">
        <v>1340</v>
      </c>
    </row>
    <row r="591" spans="1:4" x14ac:dyDescent="0.25">
      <c r="A591" t="str">
        <f>T("   940350")</f>
        <v xml:space="preserve">   940350</v>
      </c>
      <c r="B591" t="str">
        <f>T("   Meubles pour chambres à coucher, en bois (sauf sièges)")</f>
        <v xml:space="preserve">   Meubles pour chambres à coucher, en bois (sauf sièges)</v>
      </c>
      <c r="C591">
        <v>400000</v>
      </c>
      <c r="D591">
        <v>300</v>
      </c>
    </row>
    <row r="592" spans="1:4" x14ac:dyDescent="0.25">
      <c r="A592" t="str">
        <f>T("HK")</f>
        <v>HK</v>
      </c>
      <c r="B592" t="str">
        <f>T("Hong-Kong")</f>
        <v>Hong-Kong</v>
      </c>
    </row>
    <row r="593" spans="1:4" x14ac:dyDescent="0.25">
      <c r="A593" t="str">
        <f>T("   ZZ_Total_Produit_SH6")</f>
        <v xml:space="preserve">   ZZ_Total_Produit_SH6</v>
      </c>
      <c r="B593" t="str">
        <f>T("   ZZ_Total_Produit_SH6")</f>
        <v xml:space="preserve">   ZZ_Total_Produit_SH6</v>
      </c>
      <c r="C593">
        <v>852744050</v>
      </c>
      <c r="D593">
        <v>2053900</v>
      </c>
    </row>
    <row r="594" spans="1:4" x14ac:dyDescent="0.25">
      <c r="A594" t="str">
        <f>T("   080131")</f>
        <v xml:space="preserve">   080131</v>
      </c>
      <c r="B594" t="str">
        <f>T("   Noix de cajou, fraîches ou sèches, en coques")</f>
        <v xml:space="preserve">   Noix de cajou, fraîches ou sèches, en coques</v>
      </c>
      <c r="C594">
        <v>852744050</v>
      </c>
      <c r="D594">
        <v>2053900</v>
      </c>
    </row>
    <row r="595" spans="1:4" x14ac:dyDescent="0.25">
      <c r="A595" t="str">
        <f>T("ID")</f>
        <v>ID</v>
      </c>
      <c r="B595" t="str">
        <f>T("Indonésie")</f>
        <v>Indonésie</v>
      </c>
    </row>
    <row r="596" spans="1:4" x14ac:dyDescent="0.25">
      <c r="A596" t="str">
        <f>T("   ZZ_Total_Produit_SH6")</f>
        <v xml:space="preserve">   ZZ_Total_Produit_SH6</v>
      </c>
      <c r="B596" t="str">
        <f>T("   ZZ_Total_Produit_SH6")</f>
        <v xml:space="preserve">   ZZ_Total_Produit_SH6</v>
      </c>
      <c r="C596">
        <v>744767312</v>
      </c>
      <c r="D596">
        <v>1933985</v>
      </c>
    </row>
    <row r="597" spans="1:4" x14ac:dyDescent="0.25">
      <c r="A597" t="str">
        <f>T("   120710")</f>
        <v xml:space="preserve">   120710</v>
      </c>
      <c r="B597" t="str">
        <f>T("   NOIX ET AMANDES DE PALMISTES")</f>
        <v xml:space="preserve">   NOIX ET AMANDES DE PALMISTES</v>
      </c>
      <c r="C597">
        <v>30000</v>
      </c>
      <c r="D597">
        <v>13</v>
      </c>
    </row>
    <row r="598" spans="1:4" x14ac:dyDescent="0.25">
      <c r="A598" t="str">
        <f>T("   440690")</f>
        <v xml:space="preserve">   440690</v>
      </c>
      <c r="B598" t="str">
        <f>T("   Traverses en bois, pour voies ferrées ou simil., imprégnées")</f>
        <v xml:space="preserve">   Traverses en bois, pour voies ferrées ou simil., imprégnées</v>
      </c>
      <c r="C598">
        <v>3000000</v>
      </c>
      <c r="D598">
        <v>100000</v>
      </c>
    </row>
    <row r="599" spans="1:4" x14ac:dyDescent="0.25">
      <c r="A599" t="str">
        <f>T("   490199")</f>
        <v xml:space="preserve">   490199</v>
      </c>
      <c r="B59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99">
        <v>300000</v>
      </c>
      <c r="D599">
        <v>500</v>
      </c>
    </row>
    <row r="600" spans="1:4" x14ac:dyDescent="0.25">
      <c r="A600" t="str">
        <f>T("   520100")</f>
        <v xml:space="preserve">   520100</v>
      </c>
      <c r="B600" t="str">
        <f>T("   COTON, NON-CARDÉ NI PEIGNÉ")</f>
        <v xml:space="preserve">   COTON, NON-CARDÉ NI PEIGNÉ</v>
      </c>
      <c r="C600">
        <v>697081312</v>
      </c>
      <c r="D600">
        <v>681552</v>
      </c>
    </row>
    <row r="601" spans="1:4" x14ac:dyDescent="0.25">
      <c r="A601" t="str">
        <f>T("   620590")</f>
        <v xml:space="preserve">   620590</v>
      </c>
      <c r="B60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01">
        <v>500000</v>
      </c>
      <c r="D601">
        <v>600</v>
      </c>
    </row>
    <row r="602" spans="1:4" x14ac:dyDescent="0.25">
      <c r="A602" t="str">
        <f>T("   720429")</f>
        <v xml:space="preserve">   720429</v>
      </c>
      <c r="B602"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02">
        <v>19310000</v>
      </c>
      <c r="D602">
        <v>446200</v>
      </c>
    </row>
    <row r="603" spans="1:4" x14ac:dyDescent="0.25">
      <c r="A603" t="str">
        <f>T("   720430")</f>
        <v xml:space="preserve">   720430</v>
      </c>
      <c r="B603"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03">
        <v>10946000</v>
      </c>
      <c r="D603">
        <v>218920</v>
      </c>
    </row>
    <row r="604" spans="1:4" x14ac:dyDescent="0.25">
      <c r="A604" t="str">
        <f>T("   720449")</f>
        <v xml:space="preserve">   720449</v>
      </c>
      <c r="B604" t="s">
        <v>75</v>
      </c>
      <c r="C604">
        <v>12000000</v>
      </c>
      <c r="D604">
        <v>475000</v>
      </c>
    </row>
    <row r="605" spans="1:4" x14ac:dyDescent="0.25">
      <c r="A605" t="str">
        <f>T("   760200")</f>
        <v xml:space="preserve">   760200</v>
      </c>
      <c r="B605" t="s">
        <v>86</v>
      </c>
      <c r="C605">
        <v>400000</v>
      </c>
      <c r="D605">
        <v>10000</v>
      </c>
    </row>
    <row r="606" spans="1:4" x14ac:dyDescent="0.25">
      <c r="A606" t="str">
        <f>T("   940350")</f>
        <v xml:space="preserve">   940350</v>
      </c>
      <c r="B606" t="str">
        <f>T("   Meubles pour chambres à coucher, en bois (sauf sièges)")</f>
        <v xml:space="preserve">   Meubles pour chambres à coucher, en bois (sauf sièges)</v>
      </c>
      <c r="C606">
        <v>1200000</v>
      </c>
      <c r="D606">
        <v>1200</v>
      </c>
    </row>
    <row r="607" spans="1:4" x14ac:dyDescent="0.25">
      <c r="A607" t="str">
        <f>T("IN")</f>
        <v>IN</v>
      </c>
      <c r="B607" t="str">
        <f>T("Inde")</f>
        <v>Inde</v>
      </c>
    </row>
    <row r="608" spans="1:4" x14ac:dyDescent="0.25">
      <c r="A608" t="str">
        <f>T("   ZZ_Total_Produit_SH6")</f>
        <v xml:space="preserve">   ZZ_Total_Produit_SH6</v>
      </c>
      <c r="B608" t="str">
        <f>T("   ZZ_Total_Produit_SH6")</f>
        <v xml:space="preserve">   ZZ_Total_Produit_SH6</v>
      </c>
      <c r="C608">
        <v>26242821846</v>
      </c>
      <c r="D608">
        <v>144031484.31999999</v>
      </c>
    </row>
    <row r="609" spans="1:4" x14ac:dyDescent="0.25">
      <c r="A609" t="str">
        <f>T("   080119")</f>
        <v xml:space="preserve">   080119</v>
      </c>
      <c r="B609" t="str">
        <f>T("   Noix de coco, fraîches, même sans leur coques ou décortiquées")</f>
        <v xml:space="preserve">   Noix de coco, fraîches, même sans leur coques ou décortiquées</v>
      </c>
      <c r="C609">
        <v>11418000</v>
      </c>
      <c r="D609">
        <v>57090</v>
      </c>
    </row>
    <row r="610" spans="1:4" x14ac:dyDescent="0.25">
      <c r="A610" t="str">
        <f>T("   080121")</f>
        <v xml:space="preserve">   080121</v>
      </c>
      <c r="B610" t="str">
        <f>T("   Noix du Brésil, fraîches ou sèches, en coques")</f>
        <v xml:space="preserve">   Noix du Brésil, fraîches ou sèches, en coques</v>
      </c>
      <c r="C610">
        <v>13449800</v>
      </c>
      <c r="D610">
        <v>67249</v>
      </c>
    </row>
    <row r="611" spans="1:4" x14ac:dyDescent="0.25">
      <c r="A611" t="str">
        <f>T("   080131")</f>
        <v xml:space="preserve">   080131</v>
      </c>
      <c r="B611" t="str">
        <f>T("   Noix de cajou, fraîches ou sèches, en coques")</f>
        <v xml:space="preserve">   Noix de cajou, fraîches ou sèches, en coques</v>
      </c>
      <c r="C611">
        <v>19831568868</v>
      </c>
      <c r="D611">
        <v>74571649.439999998</v>
      </c>
    </row>
    <row r="612" spans="1:4" x14ac:dyDescent="0.25">
      <c r="A612" t="str">
        <f>T("   080132")</f>
        <v xml:space="preserve">   080132</v>
      </c>
      <c r="B612" t="str">
        <f>T("   Noix de cajou, fraîches ou sèches, sans coques")</f>
        <v xml:space="preserve">   Noix de cajou, fraîches ou sèches, sans coques</v>
      </c>
      <c r="C612">
        <v>64190000</v>
      </c>
      <c r="D612">
        <v>362800</v>
      </c>
    </row>
    <row r="613" spans="1:4" x14ac:dyDescent="0.25">
      <c r="A613" t="str">
        <f>T("   080211")</f>
        <v xml:space="preserve">   080211</v>
      </c>
      <c r="B613" t="str">
        <f>T("   Amandes, fraîches ou sèches, en coques")</f>
        <v xml:space="preserve">   Amandes, fraîches ou sèches, en coques</v>
      </c>
      <c r="C613">
        <v>35280396</v>
      </c>
      <c r="D613">
        <v>14130</v>
      </c>
    </row>
    <row r="614" spans="1:4" x14ac:dyDescent="0.25">
      <c r="A614" t="str">
        <f>T("   080290")</f>
        <v xml:space="preserve">   080290</v>
      </c>
      <c r="B614"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614">
        <v>39008000</v>
      </c>
      <c r="D614">
        <v>227200</v>
      </c>
    </row>
    <row r="615" spans="1:4" x14ac:dyDescent="0.25">
      <c r="A615" t="str">
        <f>T("   091099")</f>
        <v xml:space="preserve">   091099</v>
      </c>
      <c r="B615" t="s">
        <v>18</v>
      </c>
      <c r="C615">
        <v>2475000</v>
      </c>
      <c r="D615">
        <v>150000</v>
      </c>
    </row>
    <row r="616" spans="1:4" x14ac:dyDescent="0.25">
      <c r="A616" t="str">
        <f>T("   120710")</f>
        <v xml:space="preserve">   120710</v>
      </c>
      <c r="B616" t="str">
        <f>T("   NOIX ET AMANDES DE PALMISTES")</f>
        <v xml:space="preserve">   NOIX ET AMANDES DE PALMISTES</v>
      </c>
      <c r="C616">
        <v>302480113</v>
      </c>
      <c r="D616">
        <v>5938.88</v>
      </c>
    </row>
    <row r="617" spans="1:4" x14ac:dyDescent="0.25">
      <c r="A617" t="str">
        <f>T("   120799")</f>
        <v xml:space="preserve">   120799</v>
      </c>
      <c r="B617" t="s">
        <v>20</v>
      </c>
      <c r="C617">
        <v>321627854</v>
      </c>
      <c r="D617">
        <v>1965372</v>
      </c>
    </row>
    <row r="618" spans="1:4" x14ac:dyDescent="0.25">
      <c r="A618" t="str">
        <f>T("   151590")</f>
        <v xml:space="preserve">   151590</v>
      </c>
      <c r="B618" t="s">
        <v>22</v>
      </c>
      <c r="C618">
        <v>10263820</v>
      </c>
      <c r="D618">
        <v>73313</v>
      </c>
    </row>
    <row r="619" spans="1:4" x14ac:dyDescent="0.25">
      <c r="A619" t="str">
        <f>T("   300490")</f>
        <v xml:space="preserve">   300490</v>
      </c>
      <c r="B619" t="s">
        <v>34</v>
      </c>
      <c r="C619">
        <v>4793500</v>
      </c>
      <c r="D619">
        <v>1000</v>
      </c>
    </row>
    <row r="620" spans="1:4" x14ac:dyDescent="0.25">
      <c r="A620" t="str">
        <f>T("   440349")</f>
        <v xml:space="preserve">   440349</v>
      </c>
      <c r="B620" t="s">
        <v>46</v>
      </c>
      <c r="C620">
        <v>500000</v>
      </c>
      <c r="D620">
        <v>10000</v>
      </c>
    </row>
    <row r="621" spans="1:4" x14ac:dyDescent="0.25">
      <c r="A621" t="str">
        <f>T("   440399")</f>
        <v xml:space="preserve">   440399</v>
      </c>
      <c r="B621" t="s">
        <v>47</v>
      </c>
      <c r="C621">
        <v>1289813400</v>
      </c>
      <c r="D621">
        <v>21340759</v>
      </c>
    </row>
    <row r="622" spans="1:4" x14ac:dyDescent="0.25">
      <c r="A622" t="str">
        <f>T("   440500")</f>
        <v xml:space="preserve">   440500</v>
      </c>
      <c r="B622"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622">
        <v>41125000</v>
      </c>
      <c r="D622">
        <v>950400</v>
      </c>
    </row>
    <row r="623" spans="1:4" x14ac:dyDescent="0.25">
      <c r="A623" t="str">
        <f>T("   440690")</f>
        <v xml:space="preserve">   440690</v>
      </c>
      <c r="B623" t="str">
        <f>T("   Traverses en bois, pour voies ferrées ou simil., imprégnées")</f>
        <v xml:space="preserve">   Traverses en bois, pour voies ferrées ou simil., imprégnées</v>
      </c>
      <c r="C623">
        <v>453980000</v>
      </c>
      <c r="D623">
        <v>4817900</v>
      </c>
    </row>
    <row r="624" spans="1:4" x14ac:dyDescent="0.25">
      <c r="A624" t="str">
        <f>T("   440729")</f>
        <v xml:space="preserve">   440729</v>
      </c>
      <c r="B624" t="s">
        <v>48</v>
      </c>
      <c r="C624">
        <v>845394553</v>
      </c>
      <c r="D624">
        <v>3419265</v>
      </c>
    </row>
    <row r="625" spans="1:4" x14ac:dyDescent="0.25">
      <c r="A625" t="str">
        <f>T("   440799")</f>
        <v xml:space="preserve">   440799</v>
      </c>
      <c r="B625" t="s">
        <v>49</v>
      </c>
      <c r="C625">
        <v>242899331</v>
      </c>
      <c r="D625">
        <v>5132240</v>
      </c>
    </row>
    <row r="626" spans="1:4" x14ac:dyDescent="0.25">
      <c r="A626" t="str">
        <f>T("   441299")</f>
        <v xml:space="preserve">   441299</v>
      </c>
      <c r="B626" t="s">
        <v>51</v>
      </c>
      <c r="C626">
        <v>4000000</v>
      </c>
      <c r="D626">
        <v>80000</v>
      </c>
    </row>
    <row r="627" spans="1:4" x14ac:dyDescent="0.25">
      <c r="A627" t="str">
        <f>T("   442190")</f>
        <v xml:space="preserve">   442190</v>
      </c>
      <c r="B627" t="str">
        <f>T("   Ouvrages, en bois, n.d.a.")</f>
        <v xml:space="preserve">   Ouvrages, en bois, n.d.a.</v>
      </c>
      <c r="C627">
        <v>438048180</v>
      </c>
      <c r="D627">
        <v>2715000</v>
      </c>
    </row>
    <row r="628" spans="1:4" x14ac:dyDescent="0.25">
      <c r="A628" t="str">
        <f>T("   460210")</f>
        <v xml:space="preserve">   460210</v>
      </c>
      <c r="B628" t="s">
        <v>52</v>
      </c>
      <c r="C628">
        <v>208000000</v>
      </c>
      <c r="D628">
        <v>740000</v>
      </c>
    </row>
    <row r="629" spans="1:4" x14ac:dyDescent="0.25">
      <c r="A629" t="str">
        <f>T("   520100")</f>
        <v xml:space="preserve">   520100</v>
      </c>
      <c r="B629" t="str">
        <f>T("   COTON, NON-CARDÉ NI PEIGNÉ")</f>
        <v xml:space="preserve">   COTON, NON-CARDÉ NI PEIGNÉ</v>
      </c>
      <c r="C629">
        <v>838801765</v>
      </c>
      <c r="D629">
        <v>838534</v>
      </c>
    </row>
    <row r="630" spans="1:4" x14ac:dyDescent="0.25">
      <c r="A630" t="str">
        <f>T("   630510")</f>
        <v xml:space="preserve">   630510</v>
      </c>
      <c r="B630" t="str">
        <f>T("   Sacs et sachets d'emballage de jute ou d'autres fibres textiles libériennes du n° 5303")</f>
        <v xml:space="preserve">   Sacs et sachets d'emballage de jute ou d'autres fibres textiles libériennes du n° 5303</v>
      </c>
      <c r="C630">
        <v>88794493</v>
      </c>
      <c r="D630">
        <v>159901</v>
      </c>
    </row>
    <row r="631" spans="1:4" x14ac:dyDescent="0.25">
      <c r="A631" t="str">
        <f>T("   631090")</f>
        <v xml:space="preserve">   631090</v>
      </c>
      <c r="B631"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631">
        <v>2000000</v>
      </c>
      <c r="D631">
        <v>30000</v>
      </c>
    </row>
    <row r="632" spans="1:4" x14ac:dyDescent="0.25">
      <c r="A632" t="str">
        <f>T("   720219")</f>
        <v xml:space="preserve">   720219</v>
      </c>
      <c r="B632" t="str">
        <f>T("   Ferromanganèse, teneur en poids en carbone &lt;= 2%")</f>
        <v xml:space="preserve">   Ferromanganèse, teneur en poids en carbone &lt;= 2%</v>
      </c>
      <c r="C632">
        <v>5000000</v>
      </c>
      <c r="D632">
        <v>390000</v>
      </c>
    </row>
    <row r="633" spans="1:4" x14ac:dyDescent="0.25">
      <c r="A633" t="str">
        <f>T("   720429")</f>
        <v xml:space="preserve">   720429</v>
      </c>
      <c r="B633"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33">
        <v>187294300</v>
      </c>
      <c r="D633">
        <v>3931586</v>
      </c>
    </row>
    <row r="634" spans="1:4" x14ac:dyDescent="0.25">
      <c r="A634" t="str">
        <f>T("   720430")</f>
        <v xml:space="preserve">   720430</v>
      </c>
      <c r="B634"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34">
        <v>433395500</v>
      </c>
      <c r="D634">
        <v>9632140</v>
      </c>
    </row>
    <row r="635" spans="1:4" x14ac:dyDescent="0.25">
      <c r="A635" t="str">
        <f>T("   720449")</f>
        <v xml:space="preserve">   720449</v>
      </c>
      <c r="B635" t="s">
        <v>75</v>
      </c>
      <c r="C635">
        <v>325511000</v>
      </c>
      <c r="D635">
        <v>11140220</v>
      </c>
    </row>
    <row r="636" spans="1:4" x14ac:dyDescent="0.25">
      <c r="A636" t="str">
        <f>T("   760200")</f>
        <v xml:space="preserve">   760200</v>
      </c>
      <c r="B636" t="s">
        <v>86</v>
      </c>
      <c r="C636">
        <v>28968000</v>
      </c>
      <c r="D636">
        <v>639360</v>
      </c>
    </row>
    <row r="637" spans="1:4" x14ac:dyDescent="0.25">
      <c r="A637" t="str">
        <f>T("   760429")</f>
        <v xml:space="preserve">   760429</v>
      </c>
      <c r="B637" t="str">
        <f>T("   Barres et profilés pleins en alliages d'aluminium, n.d.a.")</f>
        <v xml:space="preserve">   Barres et profilés pleins en alliages d'aluminium, n.d.a.</v>
      </c>
      <c r="C637">
        <v>1000000</v>
      </c>
      <c r="D637">
        <v>20000</v>
      </c>
    </row>
    <row r="638" spans="1:4" x14ac:dyDescent="0.25">
      <c r="A638" t="str">
        <f>T("   761699")</f>
        <v xml:space="preserve">   761699</v>
      </c>
      <c r="B638" t="str">
        <f>T("   Ouvrages en aluminium, n.d.a.")</f>
        <v xml:space="preserve">   Ouvrages en aluminium, n.d.a.</v>
      </c>
      <c r="C638">
        <v>2127000</v>
      </c>
      <c r="D638">
        <v>42540</v>
      </c>
    </row>
    <row r="639" spans="1:4" x14ac:dyDescent="0.25">
      <c r="A639" t="str">
        <f>T("   790700")</f>
        <v xml:space="preserve">   790700</v>
      </c>
      <c r="B639" t="str">
        <f>T("   Ouvrages en zinc, n.d.a.")</f>
        <v xml:space="preserve">   Ouvrages en zinc, n.d.a.</v>
      </c>
      <c r="C639">
        <v>5250000</v>
      </c>
      <c r="D639">
        <v>165000</v>
      </c>
    </row>
    <row r="640" spans="1:4" x14ac:dyDescent="0.25">
      <c r="A640" t="str">
        <f>T("   850720")</f>
        <v xml:space="preserve">   850720</v>
      </c>
      <c r="B640" t="str">
        <f>T("   Accumulateurs au plomb (sauf hors d'usage et autres que pour le démarrage des moteurs à piston)")</f>
        <v xml:space="preserve">   Accumulateurs au plomb (sauf hors d'usage et autres que pour le démarrage des moteurs à piston)</v>
      </c>
      <c r="C640">
        <v>17650460</v>
      </c>
      <c r="D640">
        <v>74122</v>
      </c>
    </row>
    <row r="641" spans="1:4" x14ac:dyDescent="0.25">
      <c r="A641" t="str">
        <f>T("   850780")</f>
        <v xml:space="preserve">   850780</v>
      </c>
      <c r="B641" t="str">
        <f>T("   Accumulateurs électriques (sauf hors d'usage et autres qu'au plomb, au nickel-cadmium ou au nickel-fer)")</f>
        <v xml:space="preserve">   Accumulateurs électriques (sauf hors d'usage et autres qu'au plomb, au nickel-cadmium ou au nickel-fer)</v>
      </c>
      <c r="C641">
        <v>1000000</v>
      </c>
      <c r="D641">
        <v>20000</v>
      </c>
    </row>
    <row r="642" spans="1:4" x14ac:dyDescent="0.25">
      <c r="A642" t="str">
        <f>T("   850790")</f>
        <v xml:space="preserve">   850790</v>
      </c>
      <c r="B642" t="str">
        <f>T("   Plaques, séparateurs et autres parties d'accumulateurs électriques n.d.a.")</f>
        <v xml:space="preserve">   Plaques, séparateurs et autres parties d'accumulateurs électriques n.d.a.</v>
      </c>
      <c r="C642">
        <v>143313513</v>
      </c>
      <c r="D642">
        <v>244625</v>
      </c>
    </row>
    <row r="643" spans="1:4" x14ac:dyDescent="0.25">
      <c r="A643" t="str">
        <f>T("   870322")</f>
        <v xml:space="preserve">   870322</v>
      </c>
      <c r="B643" t="s">
        <v>103</v>
      </c>
      <c r="C643">
        <v>2400000</v>
      </c>
      <c r="D643">
        <v>2150</v>
      </c>
    </row>
    <row r="644" spans="1:4" x14ac:dyDescent="0.25">
      <c r="A644" t="str">
        <f>T("IT")</f>
        <v>IT</v>
      </c>
      <c r="B644" t="str">
        <f>T("Italie")</f>
        <v>Italie</v>
      </c>
    </row>
    <row r="645" spans="1:4" x14ac:dyDescent="0.25">
      <c r="A645" t="str">
        <f>T("   ZZ_Total_Produit_SH6")</f>
        <v xml:space="preserve">   ZZ_Total_Produit_SH6</v>
      </c>
      <c r="B645" t="str">
        <f>T("   ZZ_Total_Produit_SH6")</f>
        <v xml:space="preserve">   ZZ_Total_Produit_SH6</v>
      </c>
      <c r="C645">
        <v>144777298</v>
      </c>
      <c r="D645">
        <v>356003</v>
      </c>
    </row>
    <row r="646" spans="1:4" x14ac:dyDescent="0.25">
      <c r="A646" t="str">
        <f>T("   440729")</f>
        <v xml:space="preserve">   440729</v>
      </c>
      <c r="B646" t="s">
        <v>48</v>
      </c>
      <c r="C646">
        <v>24068773</v>
      </c>
      <c r="D646">
        <v>40000</v>
      </c>
    </row>
    <row r="647" spans="1:4" x14ac:dyDescent="0.25">
      <c r="A647" t="str">
        <f>T("   520100")</f>
        <v xml:space="preserve">   520100</v>
      </c>
      <c r="B647" t="str">
        <f>T("   COTON, NON-CARDÉ NI PEIGNÉ")</f>
        <v xml:space="preserve">   COTON, NON-CARDÉ NI PEIGNÉ</v>
      </c>
      <c r="C647">
        <v>111540285</v>
      </c>
      <c r="D647">
        <v>145803</v>
      </c>
    </row>
    <row r="648" spans="1:4" x14ac:dyDescent="0.25">
      <c r="A648" t="str">
        <f>T("   720430")</f>
        <v xml:space="preserve">   720430</v>
      </c>
      <c r="B648"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48">
        <v>1000000</v>
      </c>
      <c r="D648">
        <v>20000</v>
      </c>
    </row>
    <row r="649" spans="1:4" x14ac:dyDescent="0.25">
      <c r="A649" t="str">
        <f>T("   720449")</f>
        <v xml:space="preserve">   720449</v>
      </c>
      <c r="B649" t="s">
        <v>75</v>
      </c>
      <c r="C649">
        <v>6000000</v>
      </c>
      <c r="D649">
        <v>140000</v>
      </c>
    </row>
    <row r="650" spans="1:4" x14ac:dyDescent="0.25">
      <c r="A650" t="str">
        <f>T("   760200")</f>
        <v xml:space="preserve">   760200</v>
      </c>
      <c r="B650" t="s">
        <v>86</v>
      </c>
      <c r="C650">
        <v>502000</v>
      </c>
      <c r="D650">
        <v>10040</v>
      </c>
    </row>
    <row r="651" spans="1:4" x14ac:dyDescent="0.25">
      <c r="A651" t="str">
        <f>T("   970300")</f>
        <v xml:space="preserve">   970300</v>
      </c>
      <c r="B651" t="str">
        <f>T("   Productions originales de l'art statuaire ou de la sculpture, en toutes matières")</f>
        <v xml:space="preserve">   Productions originales de l'art statuaire ou de la sculpture, en toutes matières</v>
      </c>
      <c r="C651">
        <v>1666240</v>
      </c>
      <c r="D651">
        <v>160</v>
      </c>
    </row>
    <row r="652" spans="1:4" x14ac:dyDescent="0.25">
      <c r="A652" t="str">
        <f>T("JP")</f>
        <v>JP</v>
      </c>
      <c r="B652" t="str">
        <f>T("Japon")</f>
        <v>Japon</v>
      </c>
    </row>
    <row r="653" spans="1:4" x14ac:dyDescent="0.25">
      <c r="A653" t="str">
        <f>T("   ZZ_Total_Produit_SH6")</f>
        <v xml:space="preserve">   ZZ_Total_Produit_SH6</v>
      </c>
      <c r="B653" t="str">
        <f>T("   ZZ_Total_Produit_SH6")</f>
        <v xml:space="preserve">   ZZ_Total_Produit_SH6</v>
      </c>
      <c r="C653">
        <v>7491000</v>
      </c>
      <c r="D653">
        <v>149820</v>
      </c>
    </row>
    <row r="654" spans="1:4" x14ac:dyDescent="0.25">
      <c r="A654" t="str">
        <f>T("   720429")</f>
        <v xml:space="preserve">   720429</v>
      </c>
      <c r="B654"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54">
        <v>1008000</v>
      </c>
      <c r="D654">
        <v>20160</v>
      </c>
    </row>
    <row r="655" spans="1:4" x14ac:dyDescent="0.25">
      <c r="A655" t="str">
        <f>T("   720430")</f>
        <v xml:space="preserve">   720430</v>
      </c>
      <c r="B655"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55">
        <v>6483000</v>
      </c>
      <c r="D655">
        <v>129660</v>
      </c>
    </row>
    <row r="656" spans="1:4" x14ac:dyDescent="0.25">
      <c r="A656" t="str">
        <f>T("KE")</f>
        <v>KE</v>
      </c>
      <c r="B656" t="str">
        <f>T("Kenya")</f>
        <v>Kenya</v>
      </c>
    </row>
    <row r="657" spans="1:4" x14ac:dyDescent="0.25">
      <c r="A657" t="str">
        <f>T("   ZZ_Total_Produit_SH6")</f>
        <v xml:space="preserve">   ZZ_Total_Produit_SH6</v>
      </c>
      <c r="B657" t="str">
        <f>T("   ZZ_Total_Produit_SH6")</f>
        <v xml:space="preserve">   ZZ_Total_Produit_SH6</v>
      </c>
      <c r="C657">
        <v>31476466</v>
      </c>
      <c r="D657">
        <v>8450</v>
      </c>
    </row>
    <row r="658" spans="1:4" x14ac:dyDescent="0.25">
      <c r="A658" t="str">
        <f>T("   620590")</f>
        <v xml:space="preserve">   620590</v>
      </c>
      <c r="B65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58">
        <v>700000</v>
      </c>
      <c r="D658">
        <v>500</v>
      </c>
    </row>
    <row r="659" spans="1:4" x14ac:dyDescent="0.25">
      <c r="A659" t="str">
        <f>T("   732394")</f>
        <v xml:space="preserve">   732394</v>
      </c>
      <c r="B659" t="s">
        <v>82</v>
      </c>
      <c r="C659">
        <v>300000</v>
      </c>
      <c r="D659">
        <v>200</v>
      </c>
    </row>
    <row r="660" spans="1:4" x14ac:dyDescent="0.25">
      <c r="A660" t="str">
        <f>T("   847910")</f>
        <v xml:space="preserve">   847910</v>
      </c>
      <c r="B660" t="str">
        <f>T("   Machines et appareils pour les travaux publics, le bâtiment ou les travaux analogues, n.d.a.")</f>
        <v xml:space="preserve">   Machines et appareils pour les travaux publics, le bâtiment ou les travaux analogues, n.d.a.</v>
      </c>
      <c r="C660">
        <v>21314240</v>
      </c>
      <c r="D660">
        <v>2300</v>
      </c>
    </row>
    <row r="661" spans="1:4" x14ac:dyDescent="0.25">
      <c r="A661" t="str">
        <f>T("   870323")</f>
        <v xml:space="preserve">   870323</v>
      </c>
      <c r="B661" t="s">
        <v>104</v>
      </c>
      <c r="C661">
        <v>8162226</v>
      </c>
      <c r="D661">
        <v>4150</v>
      </c>
    </row>
    <row r="662" spans="1:4" x14ac:dyDescent="0.25">
      <c r="A662" t="str">
        <f>T("   940350")</f>
        <v xml:space="preserve">   940350</v>
      </c>
      <c r="B662" t="str">
        <f>T("   Meubles pour chambres à coucher, en bois (sauf sièges)")</f>
        <v xml:space="preserve">   Meubles pour chambres à coucher, en bois (sauf sièges)</v>
      </c>
      <c r="C662">
        <v>1000000</v>
      </c>
      <c r="D662">
        <v>1300</v>
      </c>
    </row>
    <row r="663" spans="1:4" x14ac:dyDescent="0.25">
      <c r="A663" t="str">
        <f>T("KP")</f>
        <v>KP</v>
      </c>
      <c r="B663" t="str">
        <f>T("Corée, Rép. Populaire Démocratique")</f>
        <v>Corée, Rép. Populaire Démocratique</v>
      </c>
    </row>
    <row r="664" spans="1:4" x14ac:dyDescent="0.25">
      <c r="A664" t="str">
        <f>T("   ZZ_Total_Produit_SH6")</f>
        <v xml:space="preserve">   ZZ_Total_Produit_SH6</v>
      </c>
      <c r="B664" t="str">
        <f>T("   ZZ_Total_Produit_SH6")</f>
        <v xml:space="preserve">   ZZ_Total_Produit_SH6</v>
      </c>
      <c r="C664">
        <v>9750000</v>
      </c>
      <c r="D664">
        <v>195000</v>
      </c>
    </row>
    <row r="665" spans="1:4" x14ac:dyDescent="0.25">
      <c r="A665" t="str">
        <f>T("   720430")</f>
        <v xml:space="preserve">   720430</v>
      </c>
      <c r="B665"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65">
        <v>9750000</v>
      </c>
      <c r="D665">
        <v>195000</v>
      </c>
    </row>
    <row r="666" spans="1:4" x14ac:dyDescent="0.25">
      <c r="A666" t="str">
        <f>T("KR")</f>
        <v>KR</v>
      </c>
      <c r="B666" t="str">
        <f>T("Corée, République de")</f>
        <v>Corée, République de</v>
      </c>
    </row>
    <row r="667" spans="1:4" x14ac:dyDescent="0.25">
      <c r="A667" t="str">
        <f>T("   ZZ_Total_Produit_SH6")</f>
        <v xml:space="preserve">   ZZ_Total_Produit_SH6</v>
      </c>
      <c r="B667" t="str">
        <f>T("   ZZ_Total_Produit_SH6")</f>
        <v xml:space="preserve">   ZZ_Total_Produit_SH6</v>
      </c>
      <c r="C667">
        <v>56416000</v>
      </c>
      <c r="D667">
        <v>1136660</v>
      </c>
    </row>
    <row r="668" spans="1:4" x14ac:dyDescent="0.25">
      <c r="A668" t="str">
        <f>T("   440399")</f>
        <v xml:space="preserve">   440399</v>
      </c>
      <c r="B668" t="s">
        <v>47</v>
      </c>
      <c r="C668">
        <v>9166000</v>
      </c>
      <c r="D668">
        <v>91660</v>
      </c>
    </row>
    <row r="669" spans="1:4" x14ac:dyDescent="0.25">
      <c r="A669" t="str">
        <f>T("   440690")</f>
        <v xml:space="preserve">   440690</v>
      </c>
      <c r="B669" t="str">
        <f>T("   Traverses en bois, pour voies ferrées ou simil., imprégnées")</f>
        <v xml:space="preserve">   Traverses en bois, pour voies ferrées ou simil., imprégnées</v>
      </c>
      <c r="C669">
        <v>1000000</v>
      </c>
      <c r="D669">
        <v>20000</v>
      </c>
    </row>
    <row r="670" spans="1:4" x14ac:dyDescent="0.25">
      <c r="A670" t="str">
        <f>T("   440729")</f>
        <v xml:space="preserve">   440729</v>
      </c>
      <c r="B670" t="s">
        <v>48</v>
      </c>
      <c r="C670">
        <v>1000000</v>
      </c>
      <c r="D670">
        <v>20000</v>
      </c>
    </row>
    <row r="671" spans="1:4" x14ac:dyDescent="0.25">
      <c r="A671" t="str">
        <f>T("   720429")</f>
        <v xml:space="preserve">   720429</v>
      </c>
      <c r="B671"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71">
        <v>5000000</v>
      </c>
      <c r="D671">
        <v>100000</v>
      </c>
    </row>
    <row r="672" spans="1:4" x14ac:dyDescent="0.25">
      <c r="A672" t="str">
        <f>T("   720430")</f>
        <v xml:space="preserve">   720430</v>
      </c>
      <c r="B672"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72">
        <v>23500000</v>
      </c>
      <c r="D672">
        <v>470000</v>
      </c>
    </row>
    <row r="673" spans="1:4" x14ac:dyDescent="0.25">
      <c r="A673" t="str">
        <f>T("   720449")</f>
        <v xml:space="preserve">   720449</v>
      </c>
      <c r="B673" t="s">
        <v>75</v>
      </c>
      <c r="C673">
        <v>13000000</v>
      </c>
      <c r="D673">
        <v>360000</v>
      </c>
    </row>
    <row r="674" spans="1:4" x14ac:dyDescent="0.25">
      <c r="A674" t="str">
        <f>T("   760200")</f>
        <v xml:space="preserve">   760200</v>
      </c>
      <c r="B674" t="s">
        <v>86</v>
      </c>
      <c r="C674">
        <v>3750000</v>
      </c>
      <c r="D674">
        <v>75000</v>
      </c>
    </row>
    <row r="675" spans="1:4" x14ac:dyDescent="0.25">
      <c r="A675" t="str">
        <f>T("LB")</f>
        <v>LB</v>
      </c>
      <c r="B675" t="str">
        <f>T("Liban")</f>
        <v>Liban</v>
      </c>
    </row>
    <row r="676" spans="1:4" x14ac:dyDescent="0.25">
      <c r="A676" t="str">
        <f>T("   ZZ_Total_Produit_SH6")</f>
        <v xml:space="preserve">   ZZ_Total_Produit_SH6</v>
      </c>
      <c r="B676" t="str">
        <f>T("   ZZ_Total_Produit_SH6")</f>
        <v xml:space="preserve">   ZZ_Total_Produit_SH6</v>
      </c>
      <c r="C676">
        <v>184535270</v>
      </c>
      <c r="D676">
        <v>422931</v>
      </c>
    </row>
    <row r="677" spans="1:4" x14ac:dyDescent="0.25">
      <c r="A677" t="str">
        <f>T("   120710")</f>
        <v xml:space="preserve">   120710</v>
      </c>
      <c r="B677" t="str">
        <f>T("   NOIX ET AMANDES DE PALMISTES")</f>
        <v xml:space="preserve">   NOIX ET AMANDES DE PALMISTES</v>
      </c>
      <c r="C677">
        <v>45916991</v>
      </c>
      <c r="D677">
        <v>478</v>
      </c>
    </row>
    <row r="678" spans="1:4" x14ac:dyDescent="0.25">
      <c r="A678" t="str">
        <f>T("   240290")</f>
        <v xml:space="preserve">   240290</v>
      </c>
      <c r="B678" t="str">
        <f>T("   Cigares, cigarillos et cigarettes, en succédanés du tabac")</f>
        <v xml:space="preserve">   Cigares, cigarillos et cigarettes, en succédanés du tabac</v>
      </c>
      <c r="C678">
        <v>100000000</v>
      </c>
      <c r="D678">
        <v>152000</v>
      </c>
    </row>
    <row r="679" spans="1:4" x14ac:dyDescent="0.25">
      <c r="A679" t="str">
        <f>T("   251690")</f>
        <v xml:space="preserve">   251690</v>
      </c>
      <c r="B679" t="s">
        <v>29</v>
      </c>
      <c r="C679">
        <v>1682537</v>
      </c>
      <c r="D679">
        <v>27113</v>
      </c>
    </row>
    <row r="680" spans="1:4" x14ac:dyDescent="0.25">
      <c r="A680" t="str">
        <f>T("   440200")</f>
        <v xml:space="preserve">   440200</v>
      </c>
      <c r="B680" t="str">
        <f>T("   Charbon de bois - y.c. le charbon de coques ou de noix -, même aggloméré (à l'excl. des fusains et du charbon de bois conditionné comme médicament, mélangé d'encens ou activé)")</f>
        <v xml:space="preserve">   Charbon de bois - y.c. le charbon de coques ou de noix -, même aggloméré (à l'excl. des fusains et du charbon de bois conditionné comme médicament, mélangé d'encens ou activé)</v>
      </c>
      <c r="C680">
        <v>6324900</v>
      </c>
      <c r="D680">
        <v>86040</v>
      </c>
    </row>
    <row r="681" spans="1:4" x14ac:dyDescent="0.25">
      <c r="A681" t="str">
        <f>T("   440729")</f>
        <v xml:space="preserve">   440729</v>
      </c>
      <c r="B681" t="s">
        <v>48</v>
      </c>
      <c r="C681">
        <v>4340000</v>
      </c>
      <c r="D681">
        <v>22000</v>
      </c>
    </row>
    <row r="682" spans="1:4" x14ac:dyDescent="0.25">
      <c r="A682" t="str">
        <f>T("   842920")</f>
        <v xml:space="preserve">   842920</v>
      </c>
      <c r="B682" t="str">
        <f>T("   Niveleuses autopropulsées")</f>
        <v xml:space="preserve">   Niveleuses autopropulsées</v>
      </c>
      <c r="C682">
        <v>8000000</v>
      </c>
      <c r="D682">
        <v>59000</v>
      </c>
    </row>
    <row r="683" spans="1:4" x14ac:dyDescent="0.25">
      <c r="A683" t="str">
        <f>T("   843149")</f>
        <v xml:space="preserve">   843149</v>
      </c>
      <c r="B683" t="str">
        <f>T("   Parties de machines et appareils du n° 8426, 8429 ou 8430, n.d.a.")</f>
        <v xml:space="preserve">   Parties de machines et appareils du n° 8426, 8429 ou 8430, n.d.a.</v>
      </c>
      <c r="C683">
        <v>3000000</v>
      </c>
      <c r="D683">
        <v>15000</v>
      </c>
    </row>
    <row r="684" spans="1:4" x14ac:dyDescent="0.25">
      <c r="A684" t="str">
        <f>T("   853710")</f>
        <v xml:space="preserve">   853710</v>
      </c>
      <c r="B68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684">
        <v>500000</v>
      </c>
      <c r="D684">
        <v>500</v>
      </c>
    </row>
    <row r="685" spans="1:4" x14ac:dyDescent="0.25">
      <c r="A685" t="str">
        <f>T("   870322")</f>
        <v xml:space="preserve">   870322</v>
      </c>
      <c r="B685" t="s">
        <v>103</v>
      </c>
      <c r="C685">
        <v>2000000</v>
      </c>
      <c r="D685">
        <v>21500</v>
      </c>
    </row>
    <row r="686" spans="1:4" x14ac:dyDescent="0.25">
      <c r="A686" t="str">
        <f>T("   870323")</f>
        <v xml:space="preserve">   870323</v>
      </c>
      <c r="B686" t="s">
        <v>104</v>
      </c>
      <c r="C686">
        <v>5805246</v>
      </c>
      <c r="D686">
        <v>1500</v>
      </c>
    </row>
    <row r="687" spans="1:4" x14ac:dyDescent="0.25">
      <c r="A687" t="str">
        <f>T("   870590")</f>
        <v xml:space="preserve">   870590</v>
      </c>
      <c r="B687" t="s">
        <v>112</v>
      </c>
      <c r="C687">
        <v>2400000</v>
      </c>
      <c r="D687">
        <v>10000</v>
      </c>
    </row>
    <row r="688" spans="1:4" x14ac:dyDescent="0.25">
      <c r="A688" t="str">
        <f>T("   870899")</f>
        <v xml:space="preserve">   870899</v>
      </c>
      <c r="B68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88">
        <v>4500000</v>
      </c>
      <c r="D688">
        <v>27500</v>
      </c>
    </row>
    <row r="689" spans="1:4" x14ac:dyDescent="0.25">
      <c r="A689" t="str">
        <f>T("   940390")</f>
        <v xml:space="preserve">   940390</v>
      </c>
      <c r="B689"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689">
        <v>65596</v>
      </c>
      <c r="D689">
        <v>300</v>
      </c>
    </row>
    <row r="690" spans="1:4" x14ac:dyDescent="0.25">
      <c r="A690" t="str">
        <f>T("LR")</f>
        <v>LR</v>
      </c>
      <c r="B690" t="str">
        <f>T("Libéria")</f>
        <v>Libéria</v>
      </c>
    </row>
    <row r="691" spans="1:4" x14ac:dyDescent="0.25">
      <c r="A691" t="str">
        <f>T("   ZZ_Total_Produit_SH6")</f>
        <v xml:space="preserve">   ZZ_Total_Produit_SH6</v>
      </c>
      <c r="B691" t="str">
        <f>T("   ZZ_Total_Produit_SH6")</f>
        <v xml:space="preserve">   ZZ_Total_Produit_SH6</v>
      </c>
      <c r="C691">
        <v>204501998</v>
      </c>
      <c r="D691">
        <v>28981</v>
      </c>
    </row>
    <row r="692" spans="1:4" x14ac:dyDescent="0.25">
      <c r="A692" t="str">
        <f>T("   030379")</f>
        <v xml:space="preserve">   030379</v>
      </c>
      <c r="B692" t="s">
        <v>13</v>
      </c>
      <c r="C692">
        <v>6075000</v>
      </c>
      <c r="D692">
        <v>27000</v>
      </c>
    </row>
    <row r="693" spans="1:4" x14ac:dyDescent="0.25">
      <c r="A693" t="str">
        <f>T("   120710")</f>
        <v xml:space="preserve">   120710</v>
      </c>
      <c r="B693" t="str">
        <f>T("   NOIX ET AMANDES DE PALMISTES")</f>
        <v xml:space="preserve">   NOIX ET AMANDES DE PALMISTES</v>
      </c>
      <c r="C693">
        <v>198426998</v>
      </c>
      <c r="D693">
        <v>1981</v>
      </c>
    </row>
    <row r="694" spans="1:4" x14ac:dyDescent="0.25">
      <c r="A694" t="str">
        <f>T("LY")</f>
        <v>LY</v>
      </c>
      <c r="B694" t="str">
        <f>T("Libyenne, Jamahiriya Arabe")</f>
        <v>Libyenne, Jamahiriya Arabe</v>
      </c>
    </row>
    <row r="695" spans="1:4" x14ac:dyDescent="0.25">
      <c r="A695" t="str">
        <f>T("   ZZ_Total_Produit_SH6")</f>
        <v xml:space="preserve">   ZZ_Total_Produit_SH6</v>
      </c>
      <c r="B695" t="str">
        <f>T("   ZZ_Total_Produit_SH6")</f>
        <v xml:space="preserve">   ZZ_Total_Produit_SH6</v>
      </c>
      <c r="C695">
        <v>19167500</v>
      </c>
      <c r="D695">
        <v>671826</v>
      </c>
    </row>
    <row r="696" spans="1:4" x14ac:dyDescent="0.25">
      <c r="A696" t="str">
        <f>T("   040900")</f>
        <v xml:space="preserve">   040900</v>
      </c>
      <c r="B696" t="str">
        <f>T("   Miel naturel")</f>
        <v xml:space="preserve">   Miel naturel</v>
      </c>
      <c r="C696">
        <v>600000</v>
      </c>
      <c r="D696">
        <v>600000</v>
      </c>
    </row>
    <row r="697" spans="1:4" x14ac:dyDescent="0.25">
      <c r="A697" t="str">
        <f>T("   200980")</f>
        <v xml:space="preserve">   200980</v>
      </c>
      <c r="B697"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697">
        <v>13967500</v>
      </c>
      <c r="D697">
        <v>50686</v>
      </c>
    </row>
    <row r="698" spans="1:4" x14ac:dyDescent="0.25">
      <c r="A698" t="str">
        <f>T("   210690")</f>
        <v xml:space="preserve">   210690</v>
      </c>
      <c r="B698" t="str">
        <f>T("   Préparations alimentaires, n.d.a.")</f>
        <v xml:space="preserve">   Préparations alimentaires, n.d.a.</v>
      </c>
      <c r="C698">
        <v>600000</v>
      </c>
      <c r="D698">
        <v>7140</v>
      </c>
    </row>
    <row r="699" spans="1:4" x14ac:dyDescent="0.25">
      <c r="A699" t="str">
        <f>T("   440690")</f>
        <v xml:space="preserve">   440690</v>
      </c>
      <c r="B699" t="str">
        <f>T("   Traverses en bois, pour voies ferrées ou simil., imprégnées")</f>
        <v xml:space="preserve">   Traverses en bois, pour voies ferrées ou simil., imprégnées</v>
      </c>
      <c r="C699">
        <v>1000000</v>
      </c>
      <c r="D699">
        <v>10000</v>
      </c>
    </row>
    <row r="700" spans="1:4" x14ac:dyDescent="0.25">
      <c r="A700" t="str">
        <f>T("   870322")</f>
        <v xml:space="preserve">   870322</v>
      </c>
      <c r="B700" t="s">
        <v>103</v>
      </c>
      <c r="C700">
        <v>3000000</v>
      </c>
      <c r="D700">
        <v>4000</v>
      </c>
    </row>
    <row r="701" spans="1:4" x14ac:dyDescent="0.25">
      <c r="A701" t="str">
        <f>T("MA")</f>
        <v>MA</v>
      </c>
      <c r="B701" t="str">
        <f>T("Maroc")</f>
        <v>Maroc</v>
      </c>
    </row>
    <row r="702" spans="1:4" x14ac:dyDescent="0.25">
      <c r="A702" t="str">
        <f>T("   ZZ_Total_Produit_SH6")</f>
        <v xml:space="preserve">   ZZ_Total_Produit_SH6</v>
      </c>
      <c r="B702" t="str">
        <f>T("   ZZ_Total_Produit_SH6")</f>
        <v xml:space="preserve">   ZZ_Total_Produit_SH6</v>
      </c>
      <c r="C702">
        <v>158487723</v>
      </c>
      <c r="D702">
        <v>434529</v>
      </c>
    </row>
    <row r="703" spans="1:4" x14ac:dyDescent="0.25">
      <c r="A703" t="str">
        <f>T("   080131")</f>
        <v xml:space="preserve">   080131</v>
      </c>
      <c r="B703" t="str">
        <f>T("   Noix de cajou, fraîches ou sèches, en coques")</f>
        <v xml:space="preserve">   Noix de cajou, fraîches ou sèches, en coques</v>
      </c>
      <c r="C703">
        <v>41933600</v>
      </c>
      <c r="D703">
        <v>206816</v>
      </c>
    </row>
    <row r="704" spans="1:4" x14ac:dyDescent="0.25">
      <c r="A704" t="str">
        <f>T("   091010")</f>
        <v xml:space="preserve">   091010</v>
      </c>
      <c r="B704" t="str">
        <f>T("   Gingembre")</f>
        <v xml:space="preserve">   Gingembre</v>
      </c>
      <c r="C704">
        <v>27953722</v>
      </c>
      <c r="D704">
        <v>107220</v>
      </c>
    </row>
    <row r="705" spans="1:4" x14ac:dyDescent="0.25">
      <c r="A705" t="str">
        <f>T("   200980")</f>
        <v xml:space="preserve">   200980</v>
      </c>
      <c r="B70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705">
        <v>6600000</v>
      </c>
      <c r="D705">
        <v>33000</v>
      </c>
    </row>
    <row r="706" spans="1:4" x14ac:dyDescent="0.25">
      <c r="A706" t="str">
        <f>T("   251749")</f>
        <v xml:space="preserve">   251749</v>
      </c>
      <c r="B706" t="s">
        <v>30</v>
      </c>
      <c r="C706">
        <v>131192</v>
      </c>
      <c r="D706">
        <v>185</v>
      </c>
    </row>
    <row r="707" spans="1:4" x14ac:dyDescent="0.25">
      <c r="A707" t="str">
        <f>T("   410621")</f>
        <v xml:space="preserve">   410621</v>
      </c>
      <c r="B707" t="str">
        <f>T("   CUIRS ET PEAUX DE CAPRINS, À L'ÉTAT HUMIDE [Y.C. 'WET-BLUE'], TANNÉS, ÉPILÉS, MÊME REFENDUS (SAUF AUTREMENT PRÉPARÉS AINSI QUE SIMPL. PRÉTANNÉS)")</f>
        <v xml:space="preserve">   CUIRS ET PEAUX DE CAPRINS, À L'ÉTAT HUMIDE [Y.C. 'WET-BLUE'], TANNÉS, ÉPILÉS, MÊME REFENDUS (SAUF AUTREMENT PRÉPARÉS AINSI QUE SIMPL. PRÉTANNÉS)</v>
      </c>
      <c r="C707">
        <v>5779500</v>
      </c>
      <c r="D707">
        <v>17708</v>
      </c>
    </row>
    <row r="708" spans="1:4" x14ac:dyDescent="0.25">
      <c r="A708" t="str">
        <f>T("   440729")</f>
        <v xml:space="preserve">   440729</v>
      </c>
      <c r="B708" t="s">
        <v>48</v>
      </c>
      <c r="C708">
        <v>500000</v>
      </c>
      <c r="D708">
        <v>10000</v>
      </c>
    </row>
    <row r="709" spans="1:4" x14ac:dyDescent="0.25">
      <c r="A709" t="str">
        <f>T("   720430")</f>
        <v xml:space="preserve">   720430</v>
      </c>
      <c r="B709"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709">
        <v>500000</v>
      </c>
      <c r="D709">
        <v>10000</v>
      </c>
    </row>
    <row r="710" spans="1:4" x14ac:dyDescent="0.25">
      <c r="A710" t="str">
        <f>T("   842959")</f>
        <v xml:space="preserve">   842959</v>
      </c>
      <c r="B71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10">
        <v>75089709</v>
      </c>
      <c r="D710">
        <v>49600</v>
      </c>
    </row>
    <row r="711" spans="1:4" x14ac:dyDescent="0.25">
      <c r="A711" t="str">
        <f>T("MG")</f>
        <v>MG</v>
      </c>
      <c r="B711" t="str">
        <f>T("Madagascar")</f>
        <v>Madagascar</v>
      </c>
    </row>
    <row r="712" spans="1:4" x14ac:dyDescent="0.25">
      <c r="A712" t="str">
        <f>T("   ZZ_Total_Produit_SH6")</f>
        <v xml:space="preserve">   ZZ_Total_Produit_SH6</v>
      </c>
      <c r="B712" t="str">
        <f>T("   ZZ_Total_Produit_SH6")</f>
        <v xml:space="preserve">   ZZ_Total_Produit_SH6</v>
      </c>
      <c r="C712">
        <v>2500000</v>
      </c>
      <c r="D712">
        <v>20915</v>
      </c>
    </row>
    <row r="713" spans="1:4" x14ac:dyDescent="0.25">
      <c r="A713" t="str">
        <f>T("   620590")</f>
        <v xml:space="preserve">   620590</v>
      </c>
      <c r="B71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13">
        <v>500000</v>
      </c>
      <c r="D713">
        <v>500</v>
      </c>
    </row>
    <row r="714" spans="1:4" x14ac:dyDescent="0.25">
      <c r="A714" t="str">
        <f>T("   871419")</f>
        <v xml:space="preserve">   871419</v>
      </c>
      <c r="B714" t="str">
        <f>T("   Parties et accessoires de motocycles, y.c. de cyclomoteurs, n.d.a.")</f>
        <v xml:space="preserve">   Parties et accessoires de motocycles, y.c. de cyclomoteurs, n.d.a.</v>
      </c>
      <c r="C714">
        <v>1000000</v>
      </c>
      <c r="D714">
        <v>18915</v>
      </c>
    </row>
    <row r="715" spans="1:4" x14ac:dyDescent="0.25">
      <c r="A715" t="str">
        <f>T("   940350")</f>
        <v xml:space="preserve">   940350</v>
      </c>
      <c r="B715" t="str">
        <f>T("   Meubles pour chambres à coucher, en bois (sauf sièges)")</f>
        <v xml:space="preserve">   Meubles pour chambres à coucher, en bois (sauf sièges)</v>
      </c>
      <c r="C715">
        <v>1000000</v>
      </c>
      <c r="D715">
        <v>1500</v>
      </c>
    </row>
    <row r="716" spans="1:4" x14ac:dyDescent="0.25">
      <c r="A716" t="str">
        <f>T("ML")</f>
        <v>ML</v>
      </c>
      <c r="B716" t="str">
        <f>T("Mali")</f>
        <v>Mali</v>
      </c>
    </row>
    <row r="717" spans="1:4" x14ac:dyDescent="0.25">
      <c r="A717" t="str">
        <f>T("   ZZ_Total_Produit_SH6")</f>
        <v xml:space="preserve">   ZZ_Total_Produit_SH6</v>
      </c>
      <c r="B717" t="str">
        <f>T("   ZZ_Total_Produit_SH6")</f>
        <v xml:space="preserve">   ZZ_Total_Produit_SH6</v>
      </c>
      <c r="C717">
        <v>305537096</v>
      </c>
      <c r="D717">
        <v>320312</v>
      </c>
    </row>
    <row r="718" spans="1:4" x14ac:dyDescent="0.25">
      <c r="A718" t="str">
        <f>T("   200941")</f>
        <v xml:space="preserve">   200941</v>
      </c>
      <c r="B718"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718">
        <v>5925000</v>
      </c>
      <c r="D718">
        <v>27000</v>
      </c>
    </row>
    <row r="719" spans="1:4" x14ac:dyDescent="0.25">
      <c r="A719" t="str">
        <f>T("   200949")</f>
        <v xml:space="preserve">   200949</v>
      </c>
      <c r="B71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19">
        <v>12407500</v>
      </c>
      <c r="D719">
        <v>55016</v>
      </c>
    </row>
    <row r="720" spans="1:4" x14ac:dyDescent="0.25">
      <c r="A720" t="str">
        <f>T("   210690")</f>
        <v xml:space="preserve">   210690</v>
      </c>
      <c r="B720" t="str">
        <f>T("   Préparations alimentaires, n.d.a.")</f>
        <v xml:space="preserve">   Préparations alimentaires, n.d.a.</v>
      </c>
      <c r="C720">
        <v>4521943</v>
      </c>
      <c r="D720">
        <v>2023</v>
      </c>
    </row>
    <row r="721" spans="1:4" x14ac:dyDescent="0.25">
      <c r="A721" t="str">
        <f>T("   481910")</f>
        <v xml:space="preserve">   481910</v>
      </c>
      <c r="B721" t="str">
        <f>T("   Boîtes et caisses en papier ou en carton ondulé")</f>
        <v xml:space="preserve">   Boîtes et caisses en papier ou en carton ondulé</v>
      </c>
      <c r="C721">
        <v>1369100</v>
      </c>
      <c r="D721">
        <v>2160</v>
      </c>
    </row>
    <row r="722" spans="1:4" x14ac:dyDescent="0.25">
      <c r="A722" t="str">
        <f>T("   481920")</f>
        <v xml:space="preserve">   481920</v>
      </c>
      <c r="B722" t="str">
        <f>T("   Boîtes et cartonnages, pliants, en papier ou en carton non ondulé")</f>
        <v xml:space="preserve">   Boîtes et cartonnages, pliants, en papier ou en carton non ondulé</v>
      </c>
      <c r="C722">
        <v>313837</v>
      </c>
      <c r="D722">
        <v>388</v>
      </c>
    </row>
    <row r="723" spans="1:4" x14ac:dyDescent="0.25">
      <c r="A723" t="str">
        <f>T("   520812")</f>
        <v xml:space="preserve">   520812</v>
      </c>
      <c r="B723" t="str">
        <f>T("   Tissus de coton, écrus, à armure toile, contenant &gt;= 85% en poids de coton, d'un poids &gt; 100 g/m² mais &lt;= 200 g/m²")</f>
        <v xml:space="preserve">   Tissus de coton, écrus, à armure toile, contenant &gt;= 85% en poids de coton, d'un poids &gt; 100 g/m² mais &lt;= 200 g/m²</v>
      </c>
      <c r="C723">
        <v>237206400</v>
      </c>
      <c r="D723">
        <v>161450</v>
      </c>
    </row>
    <row r="724" spans="1:4" x14ac:dyDescent="0.25">
      <c r="A724" t="str">
        <f>T("   660199")</f>
        <v xml:space="preserve">   660199</v>
      </c>
      <c r="B724"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724">
        <v>27000000</v>
      </c>
      <c r="D724">
        <v>3178</v>
      </c>
    </row>
    <row r="725" spans="1:4" x14ac:dyDescent="0.25">
      <c r="A725" t="str">
        <f>T("   681019")</f>
        <v xml:space="preserve">   681019</v>
      </c>
      <c r="B725"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725">
        <v>3612000</v>
      </c>
      <c r="D725">
        <v>40421</v>
      </c>
    </row>
    <row r="726" spans="1:4" x14ac:dyDescent="0.25">
      <c r="A726" t="str">
        <f>T("   731021")</f>
        <v xml:space="preserve">   731021</v>
      </c>
      <c r="B726"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726">
        <v>5582254</v>
      </c>
      <c r="D726">
        <v>10447</v>
      </c>
    </row>
    <row r="727" spans="1:4" x14ac:dyDescent="0.25">
      <c r="A727" t="str">
        <f>T("   732393")</f>
        <v xml:space="preserve">   732393</v>
      </c>
      <c r="B727" t="s">
        <v>81</v>
      </c>
      <c r="C727">
        <v>4768558</v>
      </c>
      <c r="D727">
        <v>7429</v>
      </c>
    </row>
    <row r="728" spans="1:4" x14ac:dyDescent="0.25">
      <c r="A728" t="str">
        <f>T("   761519")</f>
        <v xml:space="preserve">   761519</v>
      </c>
      <c r="B728" t="s">
        <v>88</v>
      </c>
      <c r="C728">
        <v>2330504</v>
      </c>
      <c r="D728">
        <v>800</v>
      </c>
    </row>
    <row r="729" spans="1:4" x14ac:dyDescent="0.25">
      <c r="A729" t="str">
        <f>T("   940380")</f>
        <v xml:space="preserve">   940380</v>
      </c>
      <c r="B729" t="str">
        <f>T("   Meubles en rotin, osier, bambou ou autres matières (sauf métal, bois et matières plastiques)")</f>
        <v xml:space="preserve">   Meubles en rotin, osier, bambou ou autres matières (sauf métal, bois et matières plastiques)</v>
      </c>
      <c r="C729">
        <v>500000</v>
      </c>
      <c r="D729">
        <v>10000</v>
      </c>
    </row>
    <row r="730" spans="1:4" x14ac:dyDescent="0.25">
      <c r="A730" t="str">
        <f>T("MR")</f>
        <v>MR</v>
      </c>
      <c r="B730" t="str">
        <f>T("Mauritanie")</f>
        <v>Mauritanie</v>
      </c>
    </row>
    <row r="731" spans="1:4" x14ac:dyDescent="0.25">
      <c r="A731" t="str">
        <f>T("   ZZ_Total_Produit_SH6")</f>
        <v xml:space="preserve">   ZZ_Total_Produit_SH6</v>
      </c>
      <c r="B731" t="str">
        <f>T("   ZZ_Total_Produit_SH6")</f>
        <v xml:space="preserve">   ZZ_Total_Produit_SH6</v>
      </c>
      <c r="C731">
        <v>85693292</v>
      </c>
      <c r="D731">
        <v>1057777</v>
      </c>
    </row>
    <row r="732" spans="1:4" x14ac:dyDescent="0.25">
      <c r="A732" t="str">
        <f>T("   230610")</f>
        <v xml:space="preserve">   230610</v>
      </c>
      <c r="B732"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732">
        <v>66893292</v>
      </c>
      <c r="D732">
        <v>1019777</v>
      </c>
    </row>
    <row r="733" spans="1:4" x14ac:dyDescent="0.25">
      <c r="A733" t="str">
        <f>T("   847439")</f>
        <v xml:space="preserve">   847439</v>
      </c>
      <c r="B733"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733">
        <v>14000000</v>
      </c>
      <c r="D733">
        <v>20500</v>
      </c>
    </row>
    <row r="734" spans="1:4" x14ac:dyDescent="0.25">
      <c r="A734" t="str">
        <f>T("   850140")</f>
        <v xml:space="preserve">   850140</v>
      </c>
      <c r="B734" t="str">
        <f>T("   Moteurs à courant alternatif, monophasés")</f>
        <v xml:space="preserve">   Moteurs à courant alternatif, monophasés</v>
      </c>
      <c r="C734">
        <v>4300000</v>
      </c>
      <c r="D734">
        <v>7500</v>
      </c>
    </row>
    <row r="735" spans="1:4" x14ac:dyDescent="0.25">
      <c r="A735" t="str">
        <f>T("   940380")</f>
        <v xml:space="preserve">   940380</v>
      </c>
      <c r="B735" t="str">
        <f>T("   Meubles en rotin, osier, bambou ou autres matières (sauf métal, bois et matières plastiques)")</f>
        <v xml:space="preserve">   Meubles en rotin, osier, bambou ou autres matières (sauf métal, bois et matières plastiques)</v>
      </c>
      <c r="C735">
        <v>500000</v>
      </c>
      <c r="D735">
        <v>10000</v>
      </c>
    </row>
    <row r="736" spans="1:4" x14ac:dyDescent="0.25">
      <c r="A736" t="str">
        <f>T("MY")</f>
        <v>MY</v>
      </c>
      <c r="B736" t="str">
        <f>T("Malaisie")</f>
        <v>Malaisie</v>
      </c>
    </row>
    <row r="737" spans="1:4" x14ac:dyDescent="0.25">
      <c r="A737" t="str">
        <f>T("   ZZ_Total_Produit_SH6")</f>
        <v xml:space="preserve">   ZZ_Total_Produit_SH6</v>
      </c>
      <c r="B737" t="str">
        <f>T("   ZZ_Total_Produit_SH6")</f>
        <v xml:space="preserve">   ZZ_Total_Produit_SH6</v>
      </c>
      <c r="C737">
        <v>15252626460</v>
      </c>
      <c r="D737">
        <v>17333572</v>
      </c>
    </row>
    <row r="738" spans="1:4" x14ac:dyDescent="0.25">
      <c r="A738" t="str">
        <f>T("   040510")</f>
        <v xml:space="preserve">   040510</v>
      </c>
      <c r="B738" t="str">
        <f>T("   Beurre (sauf beurre déshydraté et ghee)")</f>
        <v xml:space="preserve">   Beurre (sauf beurre déshydraté et ghee)</v>
      </c>
      <c r="C738">
        <v>452119791</v>
      </c>
      <c r="D738">
        <v>808080</v>
      </c>
    </row>
    <row r="739" spans="1:4" x14ac:dyDescent="0.25">
      <c r="A739" t="str">
        <f>T("   151590")</f>
        <v xml:space="preserve">   151590</v>
      </c>
      <c r="B739" t="s">
        <v>22</v>
      </c>
      <c r="C739">
        <v>965464164</v>
      </c>
      <c r="D739">
        <v>1962423</v>
      </c>
    </row>
    <row r="740" spans="1:4" x14ac:dyDescent="0.25">
      <c r="A740" t="str">
        <f>T("   392390")</f>
        <v xml:space="preserve">   392390</v>
      </c>
      <c r="B740" t="s">
        <v>42</v>
      </c>
      <c r="C740">
        <v>60297298</v>
      </c>
      <c r="D740">
        <v>26194</v>
      </c>
    </row>
    <row r="741" spans="1:4" x14ac:dyDescent="0.25">
      <c r="A741" t="str">
        <f>T("   520100")</f>
        <v xml:space="preserve">   520100</v>
      </c>
      <c r="B741" t="str">
        <f>T("   COTON, NON-CARDÉ NI PEIGNÉ")</f>
        <v xml:space="preserve">   COTON, NON-CARDÉ NI PEIGNÉ</v>
      </c>
      <c r="C741">
        <v>13771745207</v>
      </c>
      <c r="D741">
        <v>14476875</v>
      </c>
    </row>
    <row r="742" spans="1:4" x14ac:dyDescent="0.25">
      <c r="A742" t="str">
        <f>T("   720449")</f>
        <v xml:space="preserve">   720449</v>
      </c>
      <c r="B742" t="s">
        <v>75</v>
      </c>
      <c r="C742">
        <v>3000000</v>
      </c>
      <c r="D742">
        <v>60000</v>
      </c>
    </row>
    <row r="743" spans="1:4" x14ac:dyDescent="0.25">
      <c r="A743" t="str">
        <f>T("MZ")</f>
        <v>MZ</v>
      </c>
      <c r="B743" t="str">
        <f>T("Mozambique")</f>
        <v>Mozambique</v>
      </c>
    </row>
    <row r="744" spans="1:4" x14ac:dyDescent="0.25">
      <c r="A744" t="str">
        <f>T("   ZZ_Total_Produit_SH6")</f>
        <v xml:space="preserve">   ZZ_Total_Produit_SH6</v>
      </c>
      <c r="B744" t="str">
        <f>T("   ZZ_Total_Produit_SH6")</f>
        <v xml:space="preserve">   ZZ_Total_Produit_SH6</v>
      </c>
      <c r="C744">
        <v>1500000</v>
      </c>
      <c r="D744">
        <v>3000</v>
      </c>
    </row>
    <row r="745" spans="1:4" x14ac:dyDescent="0.25">
      <c r="A745" t="str">
        <f>T("   490199")</f>
        <v xml:space="preserve">   490199</v>
      </c>
      <c r="B74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45">
        <v>200000</v>
      </c>
      <c r="D745">
        <v>400</v>
      </c>
    </row>
    <row r="746" spans="1:4" x14ac:dyDescent="0.25">
      <c r="A746" t="str">
        <f>T("   732394")</f>
        <v xml:space="preserve">   732394</v>
      </c>
      <c r="B746" t="s">
        <v>82</v>
      </c>
      <c r="C746">
        <v>450000</v>
      </c>
      <c r="D746">
        <v>800</v>
      </c>
    </row>
    <row r="747" spans="1:4" x14ac:dyDescent="0.25">
      <c r="A747" t="str">
        <f>T("   940350")</f>
        <v xml:space="preserve">   940350</v>
      </c>
      <c r="B747" t="str">
        <f>T("   Meubles pour chambres à coucher, en bois (sauf sièges)")</f>
        <v xml:space="preserve">   Meubles pour chambres à coucher, en bois (sauf sièges)</v>
      </c>
      <c r="C747">
        <v>850000</v>
      </c>
      <c r="D747">
        <v>1800</v>
      </c>
    </row>
    <row r="748" spans="1:4" x14ac:dyDescent="0.25">
      <c r="A748" t="str">
        <f>T("NA")</f>
        <v>NA</v>
      </c>
      <c r="B748" t="str">
        <f>T("Namibie")</f>
        <v>Namibie</v>
      </c>
    </row>
    <row r="749" spans="1:4" x14ac:dyDescent="0.25">
      <c r="A749" t="str">
        <f>T("   ZZ_Total_Produit_SH6")</f>
        <v xml:space="preserve">   ZZ_Total_Produit_SH6</v>
      </c>
      <c r="B749" t="str">
        <f>T("   ZZ_Total_Produit_SH6")</f>
        <v xml:space="preserve">   ZZ_Total_Produit_SH6</v>
      </c>
      <c r="C749">
        <v>1000000</v>
      </c>
      <c r="D749">
        <v>1000</v>
      </c>
    </row>
    <row r="750" spans="1:4" x14ac:dyDescent="0.25">
      <c r="A750" t="str">
        <f>T("   870322")</f>
        <v xml:space="preserve">   870322</v>
      </c>
      <c r="B750" t="s">
        <v>103</v>
      </c>
      <c r="C750">
        <v>1000000</v>
      </c>
      <c r="D750">
        <v>1000</v>
      </c>
    </row>
    <row r="751" spans="1:4" x14ac:dyDescent="0.25">
      <c r="A751" t="str">
        <f>T("NE")</f>
        <v>NE</v>
      </c>
      <c r="B751" t="str">
        <f>T("Niger")</f>
        <v>Niger</v>
      </c>
    </row>
    <row r="752" spans="1:4" x14ac:dyDescent="0.25">
      <c r="A752" t="str">
        <f>T("   ZZ_Total_Produit_SH6")</f>
        <v xml:space="preserve">   ZZ_Total_Produit_SH6</v>
      </c>
      <c r="B752" t="str">
        <f>T("   ZZ_Total_Produit_SH6")</f>
        <v xml:space="preserve">   ZZ_Total_Produit_SH6</v>
      </c>
      <c r="C752">
        <v>10983809070</v>
      </c>
      <c r="D752">
        <v>59568786.479999997</v>
      </c>
    </row>
    <row r="753" spans="1:4" x14ac:dyDescent="0.25">
      <c r="A753" t="str">
        <f>T("   100110")</f>
        <v xml:space="preserve">   100110</v>
      </c>
      <c r="B753" t="str">
        <f>T("   Froment [blé] dur")</f>
        <v xml:space="preserve">   Froment [blé] dur</v>
      </c>
      <c r="C753">
        <v>892179163</v>
      </c>
      <c r="D753">
        <v>4783560</v>
      </c>
    </row>
    <row r="754" spans="1:4" x14ac:dyDescent="0.25">
      <c r="A754" t="str">
        <f>T("   100510")</f>
        <v xml:space="preserve">   100510</v>
      </c>
      <c r="B754" t="str">
        <f>T("   Maïs de semence")</f>
        <v xml:space="preserve">   Maïs de semence</v>
      </c>
      <c r="C754">
        <v>749760000</v>
      </c>
      <c r="D754">
        <v>3415497</v>
      </c>
    </row>
    <row r="755" spans="1:4" x14ac:dyDescent="0.25">
      <c r="A755" t="str">
        <f>T("   100590")</f>
        <v xml:space="preserve">   100590</v>
      </c>
      <c r="B755" t="str">
        <f>T("   Maïs (autre que de semence)")</f>
        <v xml:space="preserve">   Maïs (autre que de semence)</v>
      </c>
      <c r="C755">
        <v>3192161400</v>
      </c>
      <c r="D755">
        <v>15163000</v>
      </c>
    </row>
    <row r="756" spans="1:4" x14ac:dyDescent="0.25">
      <c r="A756" t="str">
        <f>T("   110100")</f>
        <v xml:space="preserve">   110100</v>
      </c>
      <c r="B756" t="str">
        <f>T("   Farines de froment [blé] ou de méteil")</f>
        <v xml:space="preserve">   Farines de froment [blé] ou de méteil</v>
      </c>
      <c r="C756">
        <v>455437927</v>
      </c>
      <c r="D756">
        <v>2460000</v>
      </c>
    </row>
    <row r="757" spans="1:4" x14ac:dyDescent="0.25">
      <c r="A757" t="str">
        <f>T("   110311")</f>
        <v xml:space="preserve">   110311</v>
      </c>
      <c r="B757" t="str">
        <f>T("   Gruaux et semoules de froment [blé]")</f>
        <v xml:space="preserve">   Gruaux et semoules de froment [blé]</v>
      </c>
      <c r="C757">
        <v>633647428</v>
      </c>
      <c r="D757">
        <v>1846264</v>
      </c>
    </row>
    <row r="758" spans="1:4" x14ac:dyDescent="0.25">
      <c r="A758" t="str">
        <f>T("   110423")</f>
        <v xml:space="preserve">   110423</v>
      </c>
      <c r="B758" t="str">
        <f>T("   Grains de maïs, mondés, perlés, tranchés, concassés ou autrement travaillés (à l'excl. de la farine de maïs)")</f>
        <v xml:space="preserve">   Grains de maïs, mondés, perlés, tranchés, concassés ou autrement travaillés (à l'excl. de la farine de maïs)</v>
      </c>
      <c r="C758">
        <v>90140000</v>
      </c>
      <c r="D758">
        <v>280140</v>
      </c>
    </row>
    <row r="759" spans="1:4" x14ac:dyDescent="0.25">
      <c r="A759" t="str">
        <f>T("   170111")</f>
        <v xml:space="preserve">   170111</v>
      </c>
      <c r="B759" t="str">
        <f>T("   Sucres de canne, bruts, sans addition d'aromatisants ou de colorants")</f>
        <v xml:space="preserve">   Sucres de canne, bruts, sans addition d'aromatisants ou de colorants</v>
      </c>
      <c r="C759">
        <v>168000000</v>
      </c>
      <c r="D759">
        <v>400000</v>
      </c>
    </row>
    <row r="760" spans="1:4" x14ac:dyDescent="0.25">
      <c r="A760" t="str">
        <f>T("   190230")</f>
        <v xml:space="preserve">   190230</v>
      </c>
      <c r="B760" t="str">
        <f>T("   Pâtes alimentaires, cuites ou autrement préparées (à l'excl. des pâtes alimentaires farcies)")</f>
        <v xml:space="preserve">   Pâtes alimentaires, cuites ou autrement préparées (à l'excl. des pâtes alimentaires farcies)</v>
      </c>
      <c r="C760">
        <v>590300750</v>
      </c>
      <c r="D760">
        <v>1895430</v>
      </c>
    </row>
    <row r="761" spans="1:4" x14ac:dyDescent="0.25">
      <c r="A761" t="str">
        <f>T("   190590")</f>
        <v xml:space="preserve">   190590</v>
      </c>
      <c r="B761" t="s">
        <v>23</v>
      </c>
      <c r="C761">
        <v>92000000</v>
      </c>
      <c r="D761">
        <v>920000</v>
      </c>
    </row>
    <row r="762" spans="1:4" x14ac:dyDescent="0.25">
      <c r="A762" t="str">
        <f>T("   200941")</f>
        <v xml:space="preserve">   200941</v>
      </c>
      <c r="B762"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762">
        <v>13925000</v>
      </c>
      <c r="D762">
        <v>56500</v>
      </c>
    </row>
    <row r="763" spans="1:4" x14ac:dyDescent="0.25">
      <c r="A763" t="str">
        <f>T("   200949")</f>
        <v xml:space="preserve">   200949</v>
      </c>
      <c r="B763"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63">
        <v>3900000</v>
      </c>
      <c r="D763">
        <v>9000</v>
      </c>
    </row>
    <row r="764" spans="1:4" x14ac:dyDescent="0.25">
      <c r="A764" t="str">
        <f>T("   230230")</f>
        <v xml:space="preserve">   230230</v>
      </c>
      <c r="B764"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764">
        <v>417360000</v>
      </c>
      <c r="D764">
        <v>5657000</v>
      </c>
    </row>
    <row r="765" spans="1:4" x14ac:dyDescent="0.25">
      <c r="A765" t="str">
        <f>T("   252329")</f>
        <v xml:space="preserve">   252329</v>
      </c>
      <c r="B765" t="str">
        <f>T("   Ciment Portland normal ou modéré (à l'excl. des ciments Portland blancs, même colorés artificiellement)")</f>
        <v xml:space="preserve">   Ciment Portland normal ou modéré (à l'excl. des ciments Portland blancs, même colorés artificiellement)</v>
      </c>
      <c r="C765">
        <v>1121087025</v>
      </c>
      <c r="D765">
        <v>16035000</v>
      </c>
    </row>
    <row r="766" spans="1:4" x14ac:dyDescent="0.25">
      <c r="A766" t="str">
        <f>T("   293090")</f>
        <v xml:space="preserve">   293090</v>
      </c>
      <c r="B766" t="str">
        <f>T("   THIOCOMPOSÉS ORGANIQUES (À L'EXCL. DES THIOCARBAMATES, DES DITHIOCARBAMATES, DES MONO-, DI- OU TÉTRASULFURES DE THIOURAME, DE LA MÉTHIONINE, DU CAPTAFOL [ISO] AINSI QUE DU MÉTHAMIDOPHOS [ISO])")</f>
        <v xml:space="preserve">   THIOCOMPOSÉS ORGANIQUES (À L'EXCL. DES THIOCARBAMATES, DES DITHIOCARBAMATES, DES MONO-, DI- OU TÉTRASULFURES DE THIOURAME, DE LA MÉTHIONINE, DU CAPTAFOL [ISO] AINSI QUE DU MÉTHAMIDOPHOS [ISO])</v>
      </c>
      <c r="C766">
        <v>350000</v>
      </c>
      <c r="D766">
        <v>724</v>
      </c>
    </row>
    <row r="767" spans="1:4" x14ac:dyDescent="0.25">
      <c r="A767" t="str">
        <f>T("   300390")</f>
        <v xml:space="preserve">   300390</v>
      </c>
      <c r="B767" t="s">
        <v>31</v>
      </c>
      <c r="C767">
        <v>61842925</v>
      </c>
      <c r="D767">
        <v>4607.4799999999996</v>
      </c>
    </row>
    <row r="768" spans="1:4" x14ac:dyDescent="0.25">
      <c r="A768" t="str">
        <f>T("   300490")</f>
        <v xml:space="preserve">   300490</v>
      </c>
      <c r="B768" t="s">
        <v>34</v>
      </c>
      <c r="C768">
        <v>22880255</v>
      </c>
      <c r="D768">
        <v>10055</v>
      </c>
    </row>
    <row r="769" spans="1:4" x14ac:dyDescent="0.25">
      <c r="A769" t="str">
        <f>T("   380810")</f>
        <v xml:space="preserve">   380810</v>
      </c>
      <c r="B769"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769">
        <v>20485200</v>
      </c>
      <c r="D769">
        <v>51000</v>
      </c>
    </row>
    <row r="770" spans="1:4" x14ac:dyDescent="0.25">
      <c r="A770" t="str">
        <f>T("   391721")</f>
        <v xml:space="preserve">   391721</v>
      </c>
      <c r="B770" t="str">
        <f>T("   TUBES ET TUYAUX RIGIDES, EN POLYMÈRES DE L'ÉTHYLÈNE")</f>
        <v xml:space="preserve">   TUBES ET TUYAUX RIGIDES, EN POLYMÈRES DE L'ÉTHYLÈNE</v>
      </c>
      <c r="C770">
        <v>20899000</v>
      </c>
      <c r="D770">
        <v>34346</v>
      </c>
    </row>
    <row r="771" spans="1:4" x14ac:dyDescent="0.25">
      <c r="A771" t="str">
        <f>T("   392020")</f>
        <v xml:space="preserve">   392020</v>
      </c>
      <c r="B771" t="s">
        <v>41</v>
      </c>
      <c r="C771">
        <v>65274071</v>
      </c>
      <c r="D771">
        <v>32754</v>
      </c>
    </row>
    <row r="772" spans="1:4" x14ac:dyDescent="0.25">
      <c r="A772" t="str">
        <f>T("   401120")</f>
        <v xml:space="preserve">   401120</v>
      </c>
      <c r="B77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72">
        <v>1500000</v>
      </c>
      <c r="D772">
        <v>1120</v>
      </c>
    </row>
    <row r="773" spans="1:4" x14ac:dyDescent="0.25">
      <c r="A773" t="str">
        <f>T("   481910")</f>
        <v xml:space="preserve">   481910</v>
      </c>
      <c r="B773" t="str">
        <f>T("   Boîtes et caisses en papier ou en carton ondulé")</f>
        <v xml:space="preserve">   Boîtes et caisses en papier ou en carton ondulé</v>
      </c>
      <c r="C773">
        <v>1034541</v>
      </c>
      <c r="D773">
        <v>2033</v>
      </c>
    </row>
    <row r="774" spans="1:4" x14ac:dyDescent="0.25">
      <c r="A774" t="str">
        <f>T("   481920")</f>
        <v xml:space="preserve">   481920</v>
      </c>
      <c r="B774" t="str">
        <f>T("   Boîtes et cartonnages, pliants, en papier ou en carton non ondulé")</f>
        <v xml:space="preserve">   Boîtes et cartonnages, pliants, en papier ou en carton non ondulé</v>
      </c>
      <c r="C774">
        <v>66071</v>
      </c>
      <c r="D774">
        <v>82</v>
      </c>
    </row>
    <row r="775" spans="1:4" x14ac:dyDescent="0.25">
      <c r="A775" t="str">
        <f>T("   481960")</f>
        <v xml:space="preserve">   481960</v>
      </c>
      <c r="B775" t="str">
        <f>T("   Cartonnages de bureau, de magasin ou simil., rigides (à l'excl. des emballages)")</f>
        <v xml:space="preserve">   Cartonnages de bureau, de magasin ou simil., rigides (à l'excl. des emballages)</v>
      </c>
      <c r="C775">
        <v>39392887</v>
      </c>
      <c r="D775">
        <v>74747</v>
      </c>
    </row>
    <row r="776" spans="1:4" x14ac:dyDescent="0.25">
      <c r="A776" t="str">
        <f>T("   482020")</f>
        <v xml:space="preserve">   482020</v>
      </c>
      <c r="B776" t="str">
        <f>T("   Cahiers pour l'écriture, en papier ou carton")</f>
        <v xml:space="preserve">   Cahiers pour l'écriture, en papier ou carton</v>
      </c>
      <c r="C776">
        <v>3520000</v>
      </c>
      <c r="D776">
        <v>10200</v>
      </c>
    </row>
    <row r="777" spans="1:4" x14ac:dyDescent="0.25">
      <c r="A777" t="str">
        <f>T("   490700")</f>
        <v xml:space="preserve">   490700</v>
      </c>
      <c r="B777" t="s">
        <v>54</v>
      </c>
      <c r="C777">
        <v>8300000</v>
      </c>
      <c r="D777">
        <v>3879</v>
      </c>
    </row>
    <row r="778" spans="1:4" x14ac:dyDescent="0.25">
      <c r="A778" t="str">
        <f>T("   520812")</f>
        <v xml:space="preserve">   520812</v>
      </c>
      <c r="B778" t="str">
        <f>T("   Tissus de coton, écrus, à armure toile, contenant &gt;= 85% en poids de coton, d'un poids &gt; 100 g/m² mais &lt;= 200 g/m²")</f>
        <v xml:space="preserve">   Tissus de coton, écrus, à armure toile, contenant &gt;= 85% en poids de coton, d'un poids &gt; 100 g/m² mais &lt;= 200 g/m²</v>
      </c>
      <c r="C778">
        <v>200570000</v>
      </c>
      <c r="D778">
        <v>115186</v>
      </c>
    </row>
    <row r="779" spans="1:4" x14ac:dyDescent="0.25">
      <c r="A779" t="str">
        <f>T("   520819")</f>
        <v xml:space="preserve">   520819</v>
      </c>
      <c r="B779"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779">
        <v>25200000</v>
      </c>
      <c r="D779">
        <v>14400</v>
      </c>
    </row>
    <row r="780" spans="1:4" x14ac:dyDescent="0.25">
      <c r="A780" t="str">
        <f>T("   580310")</f>
        <v xml:space="preserve">   580310</v>
      </c>
      <c r="B780" t="str">
        <f>T("   Tissus à point de gaze, de coton (à l'excl. des articles de rubanerie du n° 5806)")</f>
        <v xml:space="preserve">   Tissus à point de gaze, de coton (à l'excl. des articles de rubanerie du n° 5806)</v>
      </c>
      <c r="C780">
        <v>28065312</v>
      </c>
      <c r="D780">
        <v>33678</v>
      </c>
    </row>
    <row r="781" spans="1:4" x14ac:dyDescent="0.25">
      <c r="A781" t="str">
        <f>T("   620590")</f>
        <v xml:space="preserve">   620590</v>
      </c>
      <c r="B78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81">
        <v>300000</v>
      </c>
      <c r="D781">
        <v>200</v>
      </c>
    </row>
    <row r="782" spans="1:4" x14ac:dyDescent="0.25">
      <c r="A782" t="str">
        <f>T("   640199")</f>
        <v xml:space="preserve">   640199</v>
      </c>
      <c r="B782" t="s">
        <v>64</v>
      </c>
      <c r="C782">
        <v>3300000</v>
      </c>
      <c r="D782">
        <v>5025</v>
      </c>
    </row>
    <row r="783" spans="1:4" x14ac:dyDescent="0.25">
      <c r="A783" t="str">
        <f>T("   690510")</f>
        <v xml:space="preserve">   690510</v>
      </c>
      <c r="B783" t="str">
        <f>T("   Tuiles")</f>
        <v xml:space="preserve">   Tuiles</v>
      </c>
      <c r="C783">
        <v>140901</v>
      </c>
      <c r="D783">
        <v>1200</v>
      </c>
    </row>
    <row r="784" spans="1:4" x14ac:dyDescent="0.25">
      <c r="A784" t="str">
        <f>T("   690810")</f>
        <v xml:space="preserve">   690810</v>
      </c>
      <c r="B784"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784">
        <v>500000</v>
      </c>
      <c r="D784">
        <v>2000</v>
      </c>
    </row>
    <row r="785" spans="1:4" x14ac:dyDescent="0.25">
      <c r="A785" t="str">
        <f>T("   690890")</f>
        <v xml:space="preserve">   690890</v>
      </c>
      <c r="B785" t="s">
        <v>70</v>
      </c>
      <c r="C785">
        <v>880629</v>
      </c>
      <c r="D785">
        <v>4000</v>
      </c>
    </row>
    <row r="786" spans="1:4" x14ac:dyDescent="0.25">
      <c r="A786" t="str">
        <f>T("   701090")</f>
        <v xml:space="preserve">   701090</v>
      </c>
      <c r="B786" t="s">
        <v>74</v>
      </c>
      <c r="C786">
        <v>2520000</v>
      </c>
      <c r="D786">
        <v>19620</v>
      </c>
    </row>
    <row r="787" spans="1:4" x14ac:dyDescent="0.25">
      <c r="A787" t="str">
        <f>T("   721391")</f>
        <v xml:space="preserve">   721391</v>
      </c>
      <c r="B787"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787">
        <v>118677431</v>
      </c>
      <c r="D787">
        <v>308000</v>
      </c>
    </row>
    <row r="788" spans="1:4" x14ac:dyDescent="0.25">
      <c r="A788" t="str">
        <f>T("   721399")</f>
        <v xml:space="preserve">   721399</v>
      </c>
      <c r="B788" t="s">
        <v>76</v>
      </c>
      <c r="C788">
        <v>141000000</v>
      </c>
      <c r="D788">
        <v>475000</v>
      </c>
    </row>
    <row r="789" spans="1:4" x14ac:dyDescent="0.25">
      <c r="A789" t="str">
        <f>T("   721420")</f>
        <v xml:space="preserve">   721420</v>
      </c>
      <c r="B789"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789">
        <v>135750166</v>
      </c>
      <c r="D789">
        <v>370000</v>
      </c>
    </row>
    <row r="790" spans="1:4" x14ac:dyDescent="0.25">
      <c r="A790" t="str">
        <f>T("   721590")</f>
        <v xml:space="preserve">   721590</v>
      </c>
      <c r="B790"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790">
        <v>1444472457</v>
      </c>
      <c r="D790">
        <v>4888977</v>
      </c>
    </row>
    <row r="791" spans="1:4" x14ac:dyDescent="0.25">
      <c r="A791" t="str">
        <f>T("   731021")</f>
        <v xml:space="preserve">   731021</v>
      </c>
      <c r="B791"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791">
        <v>5744696</v>
      </c>
      <c r="D791">
        <v>11154</v>
      </c>
    </row>
    <row r="792" spans="1:4" x14ac:dyDescent="0.25">
      <c r="A792" t="str">
        <f>T("   731700")</f>
        <v xml:space="preserve">   731700</v>
      </c>
      <c r="B792"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792">
        <v>25536000</v>
      </c>
      <c r="D792">
        <v>48000</v>
      </c>
    </row>
    <row r="793" spans="1:4" x14ac:dyDescent="0.25">
      <c r="A793" t="str">
        <f>T("   732394")</f>
        <v xml:space="preserve">   732394</v>
      </c>
      <c r="B793" t="s">
        <v>82</v>
      </c>
      <c r="C793">
        <v>200000</v>
      </c>
      <c r="D793">
        <v>200</v>
      </c>
    </row>
    <row r="794" spans="1:4" x14ac:dyDescent="0.25">
      <c r="A794" t="str">
        <f>T("   732399")</f>
        <v xml:space="preserve">   732399</v>
      </c>
      <c r="B794" t="s">
        <v>83</v>
      </c>
      <c r="C794">
        <v>3500000</v>
      </c>
      <c r="D794">
        <v>3100</v>
      </c>
    </row>
    <row r="795" spans="1:4" x14ac:dyDescent="0.25">
      <c r="A795" t="str">
        <f>T("   761519")</f>
        <v xml:space="preserve">   761519</v>
      </c>
      <c r="B795" t="s">
        <v>88</v>
      </c>
      <c r="C795">
        <v>291313</v>
      </c>
      <c r="D795">
        <v>100</v>
      </c>
    </row>
    <row r="796" spans="1:4" x14ac:dyDescent="0.25">
      <c r="A796" t="str">
        <f>T("   841440")</f>
        <v xml:space="preserve">   841440</v>
      </c>
      <c r="B796" t="str">
        <f>T("   Compresseurs d'air montés sur châssis à roues et remorquables")</f>
        <v xml:space="preserve">   Compresseurs d'air montés sur châssis à roues et remorquables</v>
      </c>
      <c r="C796">
        <v>10832400</v>
      </c>
      <c r="D796">
        <v>4500</v>
      </c>
    </row>
    <row r="797" spans="1:4" x14ac:dyDescent="0.25">
      <c r="A797" t="str">
        <f>T("   847431")</f>
        <v xml:space="preserve">   847431</v>
      </c>
      <c r="B797"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97">
        <v>4707050</v>
      </c>
      <c r="D797">
        <v>10500</v>
      </c>
    </row>
    <row r="798" spans="1:4" x14ac:dyDescent="0.25">
      <c r="A798" t="str">
        <f>T("   847439")</f>
        <v xml:space="preserve">   847439</v>
      </c>
      <c r="B798"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798">
        <v>5590000</v>
      </c>
      <c r="D798">
        <v>53841</v>
      </c>
    </row>
    <row r="799" spans="1:4" x14ac:dyDescent="0.25">
      <c r="A799" t="str">
        <f>T("   847910")</f>
        <v xml:space="preserve">   847910</v>
      </c>
      <c r="B799" t="str">
        <f>T("   Machines et appareils pour les travaux publics, le bâtiment ou les travaux analogues, n.d.a.")</f>
        <v xml:space="preserve">   Machines et appareils pour les travaux publics, le bâtiment ou les travaux analogues, n.d.a.</v>
      </c>
      <c r="C799">
        <v>114315388</v>
      </c>
      <c r="D799">
        <v>23000</v>
      </c>
    </row>
    <row r="800" spans="1:4" x14ac:dyDescent="0.25">
      <c r="A800" t="str">
        <f>T("   850140")</f>
        <v xml:space="preserve">   850140</v>
      </c>
      <c r="B800" t="str">
        <f>T("   Moteurs à courant alternatif, monophasés")</f>
        <v xml:space="preserve">   Moteurs à courant alternatif, monophasés</v>
      </c>
      <c r="C800">
        <v>4000000</v>
      </c>
      <c r="D800">
        <v>2000</v>
      </c>
    </row>
    <row r="801" spans="1:4" x14ac:dyDescent="0.25">
      <c r="A801" t="str">
        <f>T("   850212")</f>
        <v xml:space="preserve">   850212</v>
      </c>
      <c r="B801"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01">
        <v>1000000</v>
      </c>
      <c r="D801">
        <v>650</v>
      </c>
    </row>
    <row r="802" spans="1:4" x14ac:dyDescent="0.25">
      <c r="A802" t="str">
        <f>T("   850720")</f>
        <v xml:space="preserve">   850720</v>
      </c>
      <c r="B802" t="str">
        <f>T("   Accumulateurs au plomb (sauf hors d'usage et autres que pour le démarrage des moteurs à piston)")</f>
        <v xml:space="preserve">   Accumulateurs au plomb (sauf hors d'usage et autres que pour le démarrage des moteurs à piston)</v>
      </c>
      <c r="C802">
        <v>9937500</v>
      </c>
      <c r="D802">
        <v>6277</v>
      </c>
    </row>
    <row r="803" spans="1:4" x14ac:dyDescent="0.25">
      <c r="A803" t="str">
        <f>T("   851430")</f>
        <v xml:space="preserve">   851430</v>
      </c>
      <c r="B803"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803">
        <v>3000000</v>
      </c>
      <c r="D803">
        <v>9500</v>
      </c>
    </row>
    <row r="804" spans="1:4" x14ac:dyDescent="0.25">
      <c r="A804" t="str">
        <f>T("   853931")</f>
        <v xml:space="preserve">   853931</v>
      </c>
      <c r="B804" t="str">
        <f>T("   Lampes et tubes à décharge, fluorescents, à cathode chaude")</f>
        <v xml:space="preserve">   Lampes et tubes à décharge, fluorescents, à cathode chaude</v>
      </c>
      <c r="C804">
        <v>1565436</v>
      </c>
      <c r="D804">
        <v>684</v>
      </c>
    </row>
    <row r="805" spans="1:4" x14ac:dyDescent="0.25">
      <c r="A805" t="str">
        <f>T("   870323")</f>
        <v xml:space="preserve">   870323</v>
      </c>
      <c r="B805" t="s">
        <v>104</v>
      </c>
      <c r="C805">
        <v>6294035</v>
      </c>
      <c r="D805">
        <v>1645</v>
      </c>
    </row>
    <row r="806" spans="1:4" x14ac:dyDescent="0.25">
      <c r="A806" t="str">
        <f>T("   870324")</f>
        <v xml:space="preserve">   870324</v>
      </c>
      <c r="B806" t="s">
        <v>105</v>
      </c>
      <c r="C806">
        <v>19145043</v>
      </c>
      <c r="D806">
        <v>8675</v>
      </c>
    </row>
    <row r="807" spans="1:4" x14ac:dyDescent="0.25">
      <c r="A807" t="str">
        <f>T("   871120")</f>
        <v xml:space="preserve">   871120</v>
      </c>
      <c r="B807" t="str">
        <f>T("   Motocycles à moteur à piston alternatif, cylindrée &gt; 50 cm³ mais &lt;= 250 cm³")</f>
        <v xml:space="preserve">   Motocycles à moteur à piston alternatif, cylindrée &gt; 50 cm³ mais &lt;= 250 cm³</v>
      </c>
      <c r="C807">
        <v>210000</v>
      </c>
      <c r="D807">
        <v>220</v>
      </c>
    </row>
    <row r="808" spans="1:4" x14ac:dyDescent="0.25">
      <c r="A808" t="str">
        <f>T("   940350")</f>
        <v xml:space="preserve">   940350</v>
      </c>
      <c r="B808" t="str">
        <f>T("   Meubles pour chambres à coucher, en bois (sauf sièges)")</f>
        <v xml:space="preserve">   Meubles pour chambres à coucher, en bois (sauf sièges)</v>
      </c>
      <c r="C808">
        <v>700000</v>
      </c>
      <c r="D808">
        <v>400</v>
      </c>
    </row>
    <row r="809" spans="1:4" x14ac:dyDescent="0.25">
      <c r="A809" t="str">
        <f>T("   940591")</f>
        <v xml:space="preserve">   940591</v>
      </c>
      <c r="B809"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809">
        <v>419670</v>
      </c>
      <c r="D809">
        <v>116</v>
      </c>
    </row>
    <row r="810" spans="1:4" x14ac:dyDescent="0.25">
      <c r="A810" t="str">
        <f>T("NG")</f>
        <v>NG</v>
      </c>
      <c r="B810" t="str">
        <f>T("Nigéria")</f>
        <v>Nigéria</v>
      </c>
    </row>
    <row r="811" spans="1:4" x14ac:dyDescent="0.25">
      <c r="A811" t="str">
        <f>T("   ZZ_Total_Produit_SH6")</f>
        <v xml:space="preserve">   ZZ_Total_Produit_SH6</v>
      </c>
      <c r="B811" t="str">
        <f>T("   ZZ_Total_Produit_SH6")</f>
        <v xml:space="preserve">   ZZ_Total_Produit_SH6</v>
      </c>
      <c r="C811">
        <v>13106316043</v>
      </c>
      <c r="D811">
        <v>42510654.649999999</v>
      </c>
    </row>
    <row r="812" spans="1:4" x14ac:dyDescent="0.25">
      <c r="A812" t="str">
        <f>T("   100630")</f>
        <v xml:space="preserve">   100630</v>
      </c>
      <c r="B812" t="str">
        <f>T("   Riz semi-blanchi ou blanchi, même poli ou glacé")</f>
        <v xml:space="preserve">   Riz semi-blanchi ou blanchi, même poli ou glacé</v>
      </c>
      <c r="C812">
        <v>1161482500</v>
      </c>
      <c r="D812">
        <v>23223413</v>
      </c>
    </row>
    <row r="813" spans="1:4" x14ac:dyDescent="0.25">
      <c r="A813" t="str">
        <f>T("   110311")</f>
        <v xml:space="preserve">   110311</v>
      </c>
      <c r="B813" t="str">
        <f>T("   Gruaux et semoules de froment [blé]")</f>
        <v xml:space="preserve">   Gruaux et semoules de froment [blé]</v>
      </c>
      <c r="C813">
        <v>945536474</v>
      </c>
      <c r="D813">
        <v>2857081</v>
      </c>
    </row>
    <row r="814" spans="1:4" x14ac:dyDescent="0.25">
      <c r="A814" t="str">
        <f>T("   120710")</f>
        <v xml:space="preserve">   120710</v>
      </c>
      <c r="B814" t="str">
        <f>T("   NOIX ET AMANDES DE PALMISTES")</f>
        <v xml:space="preserve">   NOIX ET AMANDES DE PALMISTES</v>
      </c>
      <c r="C814">
        <v>89864623</v>
      </c>
      <c r="D814">
        <v>1236.9000000000001</v>
      </c>
    </row>
    <row r="815" spans="1:4" x14ac:dyDescent="0.25">
      <c r="A815" t="str">
        <f>T("   150890")</f>
        <v xml:space="preserve">   150890</v>
      </c>
      <c r="B815" t="str">
        <f>T("   Huile d'arachide et ses fractions, même raffinées, mais non chimiquement modifiées (à l'excl. de l'huile d'arachide brute)")</f>
        <v xml:space="preserve">   Huile d'arachide et ses fractions, même raffinées, mais non chimiquement modifiées (à l'excl. de l'huile d'arachide brute)</v>
      </c>
      <c r="C815">
        <v>100573600</v>
      </c>
      <c r="D815">
        <v>131900</v>
      </c>
    </row>
    <row r="816" spans="1:4" x14ac:dyDescent="0.25">
      <c r="A816" t="str">
        <f>T("   151190")</f>
        <v xml:space="preserve">   151190</v>
      </c>
      <c r="B816" t="str">
        <f>T("   Huile de palme et ses fractions, même raffinées, mais non chimiquement modifiées (à l'excl. de l'huile de palme brute)")</f>
        <v xml:space="preserve">   Huile de palme et ses fractions, même raffinées, mais non chimiquement modifiées (à l'excl. de l'huile de palme brute)</v>
      </c>
      <c r="C816">
        <v>1260447100</v>
      </c>
      <c r="D816">
        <v>1696240</v>
      </c>
    </row>
    <row r="817" spans="1:4" x14ac:dyDescent="0.25">
      <c r="A817" t="str">
        <f>T("   151219")</f>
        <v xml:space="preserve">   151219</v>
      </c>
      <c r="B817"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817">
        <v>1059882520</v>
      </c>
      <c r="D817">
        <v>1436670</v>
      </c>
    </row>
    <row r="818" spans="1:4" x14ac:dyDescent="0.25">
      <c r="A818" t="str">
        <f>T("   151229")</f>
        <v xml:space="preserve">   151229</v>
      </c>
      <c r="B818"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818">
        <v>5015609700</v>
      </c>
      <c r="D818">
        <v>6797200</v>
      </c>
    </row>
    <row r="819" spans="1:4" x14ac:dyDescent="0.25">
      <c r="A819" t="str">
        <f>T("   151620")</f>
        <v xml:space="preserve">   151620</v>
      </c>
      <c r="B819"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819">
        <v>193545000</v>
      </c>
      <c r="D819">
        <v>264000</v>
      </c>
    </row>
    <row r="820" spans="1:4" x14ac:dyDescent="0.25">
      <c r="A820" t="str">
        <f>T("   190230")</f>
        <v xml:space="preserve">   190230</v>
      </c>
      <c r="B820" t="str">
        <f>T("   Pâtes alimentaires, cuites ou autrement préparées (à l'excl. des pâtes alimentaires farcies)")</f>
        <v xml:space="preserve">   Pâtes alimentaires, cuites ou autrement préparées (à l'excl. des pâtes alimentaires farcies)</v>
      </c>
      <c r="C820">
        <v>2041257700</v>
      </c>
      <c r="D820">
        <v>4556950</v>
      </c>
    </row>
    <row r="821" spans="1:4" x14ac:dyDescent="0.25">
      <c r="A821" t="str">
        <f>T("   200941")</f>
        <v xml:space="preserve">   200941</v>
      </c>
      <c r="B821"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821">
        <v>1380000</v>
      </c>
      <c r="D821">
        <v>6500</v>
      </c>
    </row>
    <row r="822" spans="1:4" x14ac:dyDescent="0.25">
      <c r="A822" t="str">
        <f>T("   271019")</f>
        <v xml:space="preserve">   271019</v>
      </c>
      <c r="B822" t="str">
        <f>T("   Huiles moyennes et préparations, de pétrole ou de minéraux bitumineux, n.d.a.")</f>
        <v xml:space="preserve">   Huiles moyennes et préparations, de pétrole ou de minéraux bitumineux, n.d.a.</v>
      </c>
      <c r="C822">
        <v>23811217</v>
      </c>
      <c r="D822">
        <v>55958</v>
      </c>
    </row>
    <row r="823" spans="1:4" x14ac:dyDescent="0.25">
      <c r="A823" t="str">
        <f>T("   320890")</f>
        <v xml:space="preserve">   320890</v>
      </c>
      <c r="B823" t="s">
        <v>37</v>
      </c>
      <c r="C823">
        <v>21199745</v>
      </c>
      <c r="D823">
        <v>14600</v>
      </c>
    </row>
    <row r="824" spans="1:4" x14ac:dyDescent="0.25">
      <c r="A824" t="str">
        <f>T("   340119")</f>
        <v xml:space="preserve">   340119</v>
      </c>
      <c r="B824" t="s">
        <v>40</v>
      </c>
      <c r="C824">
        <v>62600000</v>
      </c>
      <c r="D824">
        <v>80000</v>
      </c>
    </row>
    <row r="825" spans="1:4" x14ac:dyDescent="0.25">
      <c r="A825" t="str">
        <f>T("   391721")</f>
        <v xml:space="preserve">   391721</v>
      </c>
      <c r="B825" t="str">
        <f>T("   TUBES ET TUYAUX RIGIDES, EN POLYMÈRES DE L'ÉTHYLÈNE")</f>
        <v xml:space="preserve">   TUBES ET TUYAUX RIGIDES, EN POLYMÈRES DE L'ÉTHYLÈNE</v>
      </c>
      <c r="C825">
        <v>190315500</v>
      </c>
      <c r="D825">
        <v>256750</v>
      </c>
    </row>
    <row r="826" spans="1:4" x14ac:dyDescent="0.25">
      <c r="A826" t="str">
        <f>T("   392020")</f>
        <v xml:space="preserve">   392020</v>
      </c>
      <c r="B826" t="s">
        <v>41</v>
      </c>
      <c r="C826">
        <v>166289764</v>
      </c>
      <c r="D826">
        <v>85502</v>
      </c>
    </row>
    <row r="827" spans="1:4" x14ac:dyDescent="0.25">
      <c r="A827" t="str">
        <f>T("   481960")</f>
        <v xml:space="preserve">   481960</v>
      </c>
      <c r="B827" t="str">
        <f>T("   Cartonnages de bureau, de magasin ou simil., rigides (à l'excl. des emballages)")</f>
        <v xml:space="preserve">   Cartonnages de bureau, de magasin ou simil., rigides (à l'excl. des emballages)</v>
      </c>
      <c r="C827">
        <v>75647437</v>
      </c>
      <c r="D827">
        <v>282843</v>
      </c>
    </row>
    <row r="828" spans="1:4" x14ac:dyDescent="0.25">
      <c r="A828" t="str">
        <f>T("   521019")</f>
        <v xml:space="preserve">   521019</v>
      </c>
      <c r="B828" t="s">
        <v>56</v>
      </c>
      <c r="C828">
        <v>14777500</v>
      </c>
      <c r="D828">
        <v>14000</v>
      </c>
    </row>
    <row r="829" spans="1:4" x14ac:dyDescent="0.25">
      <c r="A829" t="str">
        <f>T("   721590")</f>
        <v xml:space="preserve">   721590</v>
      </c>
      <c r="B829"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829">
        <v>81000054</v>
      </c>
      <c r="D829">
        <v>180000</v>
      </c>
    </row>
    <row r="830" spans="1:4" x14ac:dyDescent="0.25">
      <c r="A830" t="str">
        <f>T("   721790")</f>
        <v xml:space="preserve">   721790</v>
      </c>
      <c r="B830"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30">
        <v>68766450</v>
      </c>
      <c r="D830">
        <v>135000</v>
      </c>
    </row>
    <row r="831" spans="1:4" x14ac:dyDescent="0.25">
      <c r="A831" t="str">
        <f>T("   731700")</f>
        <v xml:space="preserve">   731700</v>
      </c>
      <c r="B831"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831">
        <v>15759864</v>
      </c>
      <c r="D831">
        <v>30000</v>
      </c>
    </row>
    <row r="832" spans="1:4" x14ac:dyDescent="0.25">
      <c r="A832" t="str">
        <f>T("   841430")</f>
        <v xml:space="preserve">   841430</v>
      </c>
      <c r="B832" t="str">
        <f>T("   Compresseurs des types utilisés pour équipements frigorifiques")</f>
        <v xml:space="preserve">   Compresseurs des types utilisés pour équipements frigorifiques</v>
      </c>
      <c r="C832">
        <v>234882</v>
      </c>
      <c r="D832">
        <v>200</v>
      </c>
    </row>
    <row r="833" spans="1:4" x14ac:dyDescent="0.25">
      <c r="A833" t="str">
        <f>T("   842890")</f>
        <v xml:space="preserve">   842890</v>
      </c>
      <c r="B833" t="str">
        <f>T("   Machines et appareils de levage, chargement, déchargement ou manutention, n.d.a.")</f>
        <v xml:space="preserve">   Machines et appareils de levage, chargement, déchargement ou manutention, n.d.a.</v>
      </c>
      <c r="C833">
        <v>2634028</v>
      </c>
      <c r="D833">
        <v>22000</v>
      </c>
    </row>
    <row r="834" spans="1:4" x14ac:dyDescent="0.25">
      <c r="A834" t="str">
        <f>T("   842911")</f>
        <v xml:space="preserve">   842911</v>
      </c>
      <c r="B834" t="str">
        <f>T("   Bouteurs 'bulldozers' et bouteurs biais 'angledozers', à chenilles")</f>
        <v xml:space="preserve">   Bouteurs 'bulldozers' et bouteurs biais 'angledozers', à chenilles</v>
      </c>
      <c r="C834">
        <v>183976908</v>
      </c>
      <c r="D834">
        <v>60393</v>
      </c>
    </row>
    <row r="835" spans="1:4" x14ac:dyDescent="0.25">
      <c r="A835" t="str">
        <f>T("   842919")</f>
        <v xml:space="preserve">   842919</v>
      </c>
      <c r="B835" t="str">
        <f>T("   Bouteurs 'bulldozers' et bouteurs biais 'angledozers', sur roues")</f>
        <v xml:space="preserve">   Bouteurs 'bulldozers' et bouteurs biais 'angledozers', sur roues</v>
      </c>
      <c r="C835">
        <v>6064429</v>
      </c>
      <c r="D835">
        <v>42700</v>
      </c>
    </row>
    <row r="836" spans="1:4" x14ac:dyDescent="0.25">
      <c r="A836" t="str">
        <f>T("   842920")</f>
        <v xml:space="preserve">   842920</v>
      </c>
      <c r="B836" t="str">
        <f>T("   Niveleuses autopropulsées")</f>
        <v xml:space="preserve">   Niveleuses autopropulsées</v>
      </c>
      <c r="C836">
        <v>227831976</v>
      </c>
      <c r="D836">
        <v>84011</v>
      </c>
    </row>
    <row r="837" spans="1:4" x14ac:dyDescent="0.25">
      <c r="A837" t="str">
        <f>T("   842940")</f>
        <v xml:space="preserve">   842940</v>
      </c>
      <c r="B837" t="str">
        <f>T("   Rouleaux compresseurs et autres compacteuses, autopropulsés")</f>
        <v xml:space="preserve">   Rouleaux compresseurs et autres compacteuses, autopropulsés</v>
      </c>
      <c r="C837">
        <v>46645740</v>
      </c>
      <c r="D837">
        <v>25637</v>
      </c>
    </row>
    <row r="838" spans="1:4" x14ac:dyDescent="0.25">
      <c r="A838" t="str">
        <f>T("   842959")</f>
        <v xml:space="preserve">   842959</v>
      </c>
      <c r="B83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38">
        <v>4141584</v>
      </c>
      <c r="D838">
        <v>17354</v>
      </c>
    </row>
    <row r="839" spans="1:4" x14ac:dyDescent="0.25">
      <c r="A839" t="str">
        <f>T("   843061")</f>
        <v xml:space="preserve">   843061</v>
      </c>
      <c r="B839" t="str">
        <f>T("   Machines et appareils à tasser ou à compacter, non autopropulsés (sauf outillage pour emploi à la main)")</f>
        <v xml:space="preserve">   Machines et appareils à tasser ou à compacter, non autopropulsés (sauf outillage pour emploi à la main)</v>
      </c>
      <c r="C839">
        <v>20000000</v>
      </c>
      <c r="D839">
        <v>45000</v>
      </c>
    </row>
    <row r="840" spans="1:4" x14ac:dyDescent="0.25">
      <c r="A840" t="str">
        <f>T("   847490")</f>
        <v xml:space="preserve">   847490</v>
      </c>
      <c r="B840" t="str">
        <f>T("   Parties des machines et appareils pour le travail des matières minérales du n° 8474, n.d.a.")</f>
        <v xml:space="preserve">   Parties des machines et appareils pour le travail des matières minérales du n° 8474, n.d.a.</v>
      </c>
      <c r="C840">
        <v>2636425</v>
      </c>
      <c r="D840">
        <v>18000</v>
      </c>
    </row>
    <row r="841" spans="1:4" x14ac:dyDescent="0.25">
      <c r="A841" t="str">
        <f>T("   847910")</f>
        <v xml:space="preserve">   847910</v>
      </c>
      <c r="B841" t="str">
        <f>T("   Machines et appareils pour les travaux publics, le bâtiment ou les travaux analogues, n.d.a.")</f>
        <v xml:space="preserve">   Machines et appareils pour les travaux publics, le bâtiment ou les travaux analogues, n.d.a.</v>
      </c>
      <c r="C841">
        <v>4880800</v>
      </c>
      <c r="D841">
        <v>12000</v>
      </c>
    </row>
    <row r="842" spans="1:4" x14ac:dyDescent="0.25">
      <c r="A842" t="str">
        <f>T("   870190")</f>
        <v xml:space="preserve">   870190</v>
      </c>
      <c r="B842"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842">
        <v>5000000</v>
      </c>
      <c r="D842">
        <v>5000</v>
      </c>
    </row>
    <row r="843" spans="1:4" x14ac:dyDescent="0.25">
      <c r="A843" t="str">
        <f>T("   870423")</f>
        <v xml:space="preserve">   870423</v>
      </c>
      <c r="B843" t="s">
        <v>110</v>
      </c>
      <c r="C843">
        <v>9672523</v>
      </c>
      <c r="D843">
        <v>72165.75</v>
      </c>
    </row>
    <row r="844" spans="1:4" x14ac:dyDescent="0.25">
      <c r="A844" t="str">
        <f>T("   900921")</f>
        <v xml:space="preserve">   900921</v>
      </c>
      <c r="B844" t="str">
        <f>T("   Appareils de photocopie à système optique (autres qu'électrostatiques)")</f>
        <v xml:space="preserve">   Appareils de photocopie à système optique (autres qu'électrostatiques)</v>
      </c>
      <c r="C844">
        <v>2850000</v>
      </c>
      <c r="D844">
        <v>350</v>
      </c>
    </row>
    <row r="845" spans="1:4" x14ac:dyDescent="0.25">
      <c r="A845" t="str">
        <f>T("NL")</f>
        <v>NL</v>
      </c>
      <c r="B845" t="str">
        <f>T("Pays-bas")</f>
        <v>Pays-bas</v>
      </c>
    </row>
    <row r="846" spans="1:4" x14ac:dyDescent="0.25">
      <c r="A846" t="str">
        <f>T("   ZZ_Total_Produit_SH6")</f>
        <v xml:space="preserve">   ZZ_Total_Produit_SH6</v>
      </c>
      <c r="B846" t="str">
        <f>T("   ZZ_Total_Produit_SH6")</f>
        <v xml:space="preserve">   ZZ_Total_Produit_SH6</v>
      </c>
      <c r="C846">
        <v>1401200249</v>
      </c>
      <c r="D846">
        <v>2519138</v>
      </c>
    </row>
    <row r="847" spans="1:4" x14ac:dyDescent="0.25">
      <c r="A847" t="str">
        <f>T("   040510")</f>
        <v xml:space="preserve">   040510</v>
      </c>
      <c r="B847" t="str">
        <f>T("   Beurre (sauf beurre déshydraté et ghee)")</f>
        <v xml:space="preserve">   Beurre (sauf beurre déshydraté et ghee)</v>
      </c>
      <c r="C847">
        <v>147808393</v>
      </c>
      <c r="D847">
        <v>264180</v>
      </c>
    </row>
    <row r="848" spans="1:4" x14ac:dyDescent="0.25">
      <c r="A848" t="str">
        <f>T("   080121")</f>
        <v xml:space="preserve">   080121</v>
      </c>
      <c r="B848" t="str">
        <f>T("   Noix du Brésil, fraîches ou sèches, en coques")</f>
        <v xml:space="preserve">   Noix du Brésil, fraîches ou sèches, en coques</v>
      </c>
      <c r="C848">
        <v>39841043</v>
      </c>
      <c r="D848">
        <v>67200</v>
      </c>
    </row>
    <row r="849" spans="1:4" x14ac:dyDescent="0.25">
      <c r="A849" t="str">
        <f>T("   080131")</f>
        <v xml:space="preserve">   080131</v>
      </c>
      <c r="B849" t="str">
        <f>T("   Noix de cajou, fraîches ou sèches, en coques")</f>
        <v xml:space="preserve">   Noix de cajou, fraîches ou sèches, en coques</v>
      </c>
      <c r="C849">
        <v>622284056</v>
      </c>
      <c r="D849">
        <v>1520070</v>
      </c>
    </row>
    <row r="850" spans="1:4" x14ac:dyDescent="0.25">
      <c r="A850" t="str">
        <f>T("   080132")</f>
        <v xml:space="preserve">   080132</v>
      </c>
      <c r="B850" t="str">
        <f>T("   Noix de cajou, fraîches ou sèches, sans coques")</f>
        <v xml:space="preserve">   Noix de cajou, fraîches ou sèches, sans coques</v>
      </c>
      <c r="C850">
        <v>275442052</v>
      </c>
      <c r="D850">
        <v>95753</v>
      </c>
    </row>
    <row r="851" spans="1:4" x14ac:dyDescent="0.25">
      <c r="A851" t="str">
        <f>T("   151110")</f>
        <v xml:space="preserve">   151110</v>
      </c>
      <c r="B851" t="str">
        <f>T("   Huile de palme, brute")</f>
        <v xml:space="preserve">   Huile de palme, brute</v>
      </c>
      <c r="C851">
        <v>22593094</v>
      </c>
      <c r="D851">
        <v>40000</v>
      </c>
    </row>
    <row r="852" spans="1:4" x14ac:dyDescent="0.25">
      <c r="A852" t="str">
        <f>T("   151590")</f>
        <v xml:space="preserve">   151590</v>
      </c>
      <c r="B852" t="s">
        <v>22</v>
      </c>
      <c r="C852">
        <v>204222380</v>
      </c>
      <c r="D852">
        <v>359793</v>
      </c>
    </row>
    <row r="853" spans="1:4" x14ac:dyDescent="0.25">
      <c r="A853" t="str">
        <f>T("   392329")</f>
        <v xml:space="preserve">   392329</v>
      </c>
      <c r="B853" t="str">
        <f>T("   Sacs, sachets, pochettes et cornets, en matières plastiques (autres que les polymères de l'éthylène)")</f>
        <v xml:space="preserve">   Sacs, sachets, pochettes et cornets, en matières plastiques (autres que les polymères de l'éthylène)</v>
      </c>
      <c r="C853">
        <v>3149595</v>
      </c>
      <c r="D853">
        <v>2141</v>
      </c>
    </row>
    <row r="854" spans="1:4" x14ac:dyDescent="0.25">
      <c r="A854" t="str">
        <f>T("   440399")</f>
        <v xml:space="preserve">   440399</v>
      </c>
      <c r="B854" t="s">
        <v>47</v>
      </c>
      <c r="C854">
        <v>10737440</v>
      </c>
      <c r="D854">
        <v>48000</v>
      </c>
    </row>
    <row r="855" spans="1:4" x14ac:dyDescent="0.25">
      <c r="A855" t="str">
        <f>T("   490199")</f>
        <v xml:space="preserve">   490199</v>
      </c>
      <c r="B85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55">
        <v>200000</v>
      </c>
      <c r="D855">
        <v>300</v>
      </c>
    </row>
    <row r="856" spans="1:4" x14ac:dyDescent="0.25">
      <c r="A856" t="str">
        <f>T("   620590")</f>
        <v xml:space="preserve">   620590</v>
      </c>
      <c r="B85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56">
        <v>500000</v>
      </c>
      <c r="D856">
        <v>900</v>
      </c>
    </row>
    <row r="857" spans="1:4" x14ac:dyDescent="0.25">
      <c r="A857" t="str">
        <f>T("   720430")</f>
        <v xml:space="preserve">   720430</v>
      </c>
      <c r="B857"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857">
        <v>1840000</v>
      </c>
      <c r="D857">
        <v>36800</v>
      </c>
    </row>
    <row r="858" spans="1:4" x14ac:dyDescent="0.25">
      <c r="A858" t="str">
        <f>T("   721420")</f>
        <v xml:space="preserve">   721420</v>
      </c>
      <c r="B858"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58">
        <v>4305405</v>
      </c>
      <c r="D858">
        <v>6075</v>
      </c>
    </row>
    <row r="859" spans="1:4" x14ac:dyDescent="0.25">
      <c r="A859" t="str">
        <f>T("   732394")</f>
        <v xml:space="preserve">   732394</v>
      </c>
      <c r="B859" t="s">
        <v>82</v>
      </c>
      <c r="C859">
        <v>350000</v>
      </c>
      <c r="D859">
        <v>600</v>
      </c>
    </row>
    <row r="860" spans="1:4" x14ac:dyDescent="0.25">
      <c r="A860" t="str">
        <f>T("   732690")</f>
        <v xml:space="preserve">   732690</v>
      </c>
      <c r="B86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60">
        <v>6463840</v>
      </c>
      <c r="D860">
        <v>7866</v>
      </c>
    </row>
    <row r="861" spans="1:4" x14ac:dyDescent="0.25">
      <c r="A861" t="str">
        <f>T("   740400")</f>
        <v xml:space="preserve">   740400</v>
      </c>
      <c r="B861" t="str">
        <f>T("   Déchets et débris de cuivre (à l'excl. des déchets lingotés ou formes brutes simil., en déchets et débris de cuivre fondus, et sauf cendres et résidus contenant du cuivre et déchets et débris de piles, batteries et accumulateurs électriques)")</f>
        <v xml:space="preserve">   Déchets et débris de cuivre (à l'excl. des déchets lingotés ou formes brutes simil., en déchets et débris de cuivre fondus, et sauf cendres et résidus contenant du cuivre et déchets et débris de piles, batteries et accumulateurs électriques)</v>
      </c>
      <c r="C861">
        <v>1250000</v>
      </c>
      <c r="D861">
        <v>25000</v>
      </c>
    </row>
    <row r="862" spans="1:4" x14ac:dyDescent="0.25">
      <c r="A862" t="str">
        <f>T("   843149")</f>
        <v xml:space="preserve">   843149</v>
      </c>
      <c r="B862" t="str">
        <f>T("   Parties de machines et appareils du n° 8426, 8429 ou 8430, n.d.a.")</f>
        <v xml:space="preserve">   Parties de machines et appareils du n° 8426, 8429 ou 8430, n.d.a.</v>
      </c>
      <c r="C862">
        <v>15000000</v>
      </c>
      <c r="D862">
        <v>20000</v>
      </c>
    </row>
    <row r="863" spans="1:4" x14ac:dyDescent="0.25">
      <c r="A863" t="str">
        <f>T("   870130")</f>
        <v xml:space="preserve">   870130</v>
      </c>
      <c r="B863" t="str">
        <f>T("   Tracteurs à chenilles (sauf motoculteurs à chenille)")</f>
        <v xml:space="preserve">   Tracteurs à chenilles (sauf motoculteurs à chenille)</v>
      </c>
      <c r="C863">
        <v>20000000</v>
      </c>
      <c r="D863">
        <v>18000</v>
      </c>
    </row>
    <row r="864" spans="1:4" x14ac:dyDescent="0.25">
      <c r="A864" t="str">
        <f>T("   870324")</f>
        <v xml:space="preserve">   870324</v>
      </c>
      <c r="B864" t="s">
        <v>105</v>
      </c>
      <c r="C864">
        <v>22762951</v>
      </c>
      <c r="D864">
        <v>2760</v>
      </c>
    </row>
    <row r="865" spans="1:4" x14ac:dyDescent="0.25">
      <c r="A865" t="str">
        <f>T("   940350")</f>
        <v xml:space="preserve">   940350</v>
      </c>
      <c r="B865" t="str">
        <f>T("   Meubles pour chambres à coucher, en bois (sauf sièges)")</f>
        <v xml:space="preserve">   Meubles pour chambres à coucher, en bois (sauf sièges)</v>
      </c>
      <c r="C865">
        <v>950000</v>
      </c>
      <c r="D865">
        <v>2200</v>
      </c>
    </row>
    <row r="866" spans="1:4" x14ac:dyDescent="0.25">
      <c r="A866" t="str">
        <f>T("   940380")</f>
        <v xml:space="preserve">   940380</v>
      </c>
      <c r="B866" t="str">
        <f>T("   Meubles en rotin, osier, bambou ou autres matières (sauf métal, bois et matières plastiques)")</f>
        <v xml:space="preserve">   Meubles en rotin, osier, bambou ou autres matières (sauf métal, bois et matières plastiques)</v>
      </c>
      <c r="C866">
        <v>1500000</v>
      </c>
      <c r="D866">
        <v>1500</v>
      </c>
    </row>
    <row r="867" spans="1:4" x14ac:dyDescent="0.25">
      <c r="A867" t="str">
        <f>T("PH")</f>
        <v>PH</v>
      </c>
      <c r="B867" t="str">
        <f>T("Philippines")</f>
        <v>Philippines</v>
      </c>
    </row>
    <row r="868" spans="1:4" x14ac:dyDescent="0.25">
      <c r="A868" t="str">
        <f>T("   ZZ_Total_Produit_SH6")</f>
        <v xml:space="preserve">   ZZ_Total_Produit_SH6</v>
      </c>
      <c r="B868" t="str">
        <f>T("   ZZ_Total_Produit_SH6")</f>
        <v xml:space="preserve">   ZZ_Total_Produit_SH6</v>
      </c>
      <c r="C868">
        <v>500000</v>
      </c>
      <c r="D868">
        <v>10000</v>
      </c>
    </row>
    <row r="869" spans="1:4" x14ac:dyDescent="0.25">
      <c r="A869" t="str">
        <f>T("   720449")</f>
        <v xml:space="preserve">   720449</v>
      </c>
      <c r="B869" t="s">
        <v>75</v>
      </c>
      <c r="C869">
        <v>500000</v>
      </c>
      <c r="D869">
        <v>10000</v>
      </c>
    </row>
    <row r="870" spans="1:4" x14ac:dyDescent="0.25">
      <c r="A870" t="str">
        <f>T("PK")</f>
        <v>PK</v>
      </c>
      <c r="B870" t="str">
        <f>T("Pakistan")</f>
        <v>Pakistan</v>
      </c>
    </row>
    <row r="871" spans="1:4" x14ac:dyDescent="0.25">
      <c r="A871" t="str">
        <f>T("   ZZ_Total_Produit_SH6")</f>
        <v xml:space="preserve">   ZZ_Total_Produit_SH6</v>
      </c>
      <c r="B871" t="str">
        <f>T("   ZZ_Total_Produit_SH6")</f>
        <v xml:space="preserve">   ZZ_Total_Produit_SH6</v>
      </c>
      <c r="C871">
        <v>8500000</v>
      </c>
      <c r="D871">
        <v>170000</v>
      </c>
    </row>
    <row r="872" spans="1:4" x14ac:dyDescent="0.25">
      <c r="A872" t="str">
        <f>T("   720449")</f>
        <v xml:space="preserve">   720449</v>
      </c>
      <c r="B872" t="s">
        <v>75</v>
      </c>
      <c r="C872">
        <v>8500000</v>
      </c>
      <c r="D872">
        <v>170000</v>
      </c>
    </row>
    <row r="873" spans="1:4" x14ac:dyDescent="0.25">
      <c r="A873" t="str">
        <f>T("PL")</f>
        <v>PL</v>
      </c>
      <c r="B873" t="str">
        <f>T("Pologne")</f>
        <v>Pologne</v>
      </c>
    </row>
    <row r="874" spans="1:4" x14ac:dyDescent="0.25">
      <c r="A874" t="str">
        <f>T("   ZZ_Total_Produit_SH6")</f>
        <v xml:space="preserve">   ZZ_Total_Produit_SH6</v>
      </c>
      <c r="B874" t="str">
        <f>T("   ZZ_Total_Produit_SH6")</f>
        <v xml:space="preserve">   ZZ_Total_Produit_SH6</v>
      </c>
      <c r="C874">
        <v>15550188</v>
      </c>
      <c r="D874">
        <v>25000</v>
      </c>
    </row>
    <row r="875" spans="1:4" x14ac:dyDescent="0.25">
      <c r="A875" t="str">
        <f>T("   020727")</f>
        <v xml:space="preserve">   020727</v>
      </c>
      <c r="B875" t="str">
        <f>T("   Morceaux et abats comestibles de dindes et dindons [des espèces domestiques], congelés")</f>
        <v xml:space="preserve">   Morceaux et abats comestibles de dindes et dindons [des espèces domestiques], congelés</v>
      </c>
      <c r="C875">
        <v>15550188</v>
      </c>
      <c r="D875">
        <v>25000</v>
      </c>
    </row>
    <row r="876" spans="1:4" x14ac:dyDescent="0.25">
      <c r="A876" t="str">
        <f>T("PT")</f>
        <v>PT</v>
      </c>
      <c r="B876" t="str">
        <f>T("Portugal")</f>
        <v>Portugal</v>
      </c>
    </row>
    <row r="877" spans="1:4" x14ac:dyDescent="0.25">
      <c r="A877" t="str">
        <f>T("   ZZ_Total_Produit_SH6")</f>
        <v xml:space="preserve">   ZZ_Total_Produit_SH6</v>
      </c>
      <c r="B877" t="str">
        <f>T("   ZZ_Total_Produit_SH6")</f>
        <v xml:space="preserve">   ZZ_Total_Produit_SH6</v>
      </c>
      <c r="C877">
        <v>3852348881</v>
      </c>
      <c r="D877">
        <v>10246761</v>
      </c>
    </row>
    <row r="878" spans="1:4" x14ac:dyDescent="0.25">
      <c r="A878" t="str">
        <f>T("   170111")</f>
        <v xml:space="preserve">   170111</v>
      </c>
      <c r="B878" t="str">
        <f>T("   Sucres de canne, bruts, sans addition d'aromatisants ou de colorants")</f>
        <v xml:space="preserve">   Sucres de canne, bruts, sans addition d'aromatisants ou de colorants</v>
      </c>
      <c r="C878">
        <v>3690995000</v>
      </c>
      <c r="D878">
        <v>10000000</v>
      </c>
    </row>
    <row r="879" spans="1:4" x14ac:dyDescent="0.25">
      <c r="A879" t="str">
        <f>T("   520100")</f>
        <v xml:space="preserve">   520100</v>
      </c>
      <c r="B879" t="str">
        <f>T("   COTON, NON-CARDÉ NI PEIGNÉ")</f>
        <v xml:space="preserve">   COTON, NON-CARDÉ NI PEIGNÉ</v>
      </c>
      <c r="C879">
        <v>114629260</v>
      </c>
      <c r="D879">
        <v>137175</v>
      </c>
    </row>
    <row r="880" spans="1:4" x14ac:dyDescent="0.25">
      <c r="A880" t="str">
        <f>T("   520291")</f>
        <v xml:space="preserve">   520291</v>
      </c>
      <c r="B880" t="str">
        <f>T("   Effilochés de coton")</f>
        <v xml:space="preserve">   Effilochés de coton</v>
      </c>
      <c r="C880">
        <v>46724621</v>
      </c>
      <c r="D880">
        <v>109586</v>
      </c>
    </row>
    <row r="881" spans="1:4" x14ac:dyDescent="0.25">
      <c r="A881" t="str">
        <f>T("SD")</f>
        <v>SD</v>
      </c>
      <c r="B881" t="str">
        <f>T("Soudan")</f>
        <v>Soudan</v>
      </c>
    </row>
    <row r="882" spans="1:4" x14ac:dyDescent="0.25">
      <c r="A882" t="str">
        <f>T("   ZZ_Total_Produit_SH6")</f>
        <v xml:space="preserve">   ZZ_Total_Produit_SH6</v>
      </c>
      <c r="B882" t="str">
        <f>T("   ZZ_Total_Produit_SH6")</f>
        <v xml:space="preserve">   ZZ_Total_Produit_SH6</v>
      </c>
      <c r="C882">
        <v>2700000</v>
      </c>
      <c r="D882">
        <v>9170</v>
      </c>
    </row>
    <row r="883" spans="1:4" x14ac:dyDescent="0.25">
      <c r="A883" t="str">
        <f>T("   621149")</f>
        <v xml:space="preserve">   621149</v>
      </c>
      <c r="B883"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883">
        <v>1500000</v>
      </c>
      <c r="D883">
        <v>7800</v>
      </c>
    </row>
    <row r="884" spans="1:4" x14ac:dyDescent="0.25">
      <c r="A884" t="str">
        <f>T("   870323")</f>
        <v xml:space="preserve">   870323</v>
      </c>
      <c r="B884" t="s">
        <v>104</v>
      </c>
      <c r="C884">
        <v>1200000</v>
      </c>
      <c r="D884">
        <v>1370</v>
      </c>
    </row>
    <row r="885" spans="1:4" x14ac:dyDescent="0.25">
      <c r="A885" t="str">
        <f>T("SG")</f>
        <v>SG</v>
      </c>
      <c r="B885" t="str">
        <f>T("Singapour")</f>
        <v>Singapour</v>
      </c>
    </row>
    <row r="886" spans="1:4" x14ac:dyDescent="0.25">
      <c r="A886" t="str">
        <f>T("   ZZ_Total_Produit_SH6")</f>
        <v xml:space="preserve">   ZZ_Total_Produit_SH6</v>
      </c>
      <c r="B886" t="str">
        <f>T("   ZZ_Total_Produit_SH6")</f>
        <v xml:space="preserve">   ZZ_Total_Produit_SH6</v>
      </c>
      <c r="C886">
        <v>1074039013</v>
      </c>
      <c r="D886">
        <v>4145656</v>
      </c>
    </row>
    <row r="887" spans="1:4" x14ac:dyDescent="0.25">
      <c r="A887" t="str">
        <f>T("   080131")</f>
        <v xml:space="preserve">   080131</v>
      </c>
      <c r="B887" t="str">
        <f>T("   Noix de cajou, fraîches ou sèches, en coques")</f>
        <v xml:space="preserve">   Noix de cajou, fraîches ou sèches, en coques</v>
      </c>
      <c r="C887">
        <v>904787327</v>
      </c>
      <c r="D887">
        <v>2665800</v>
      </c>
    </row>
    <row r="888" spans="1:4" x14ac:dyDescent="0.25">
      <c r="A888" t="str">
        <f>T("   080211")</f>
        <v xml:space="preserve">   080211</v>
      </c>
      <c r="B888" t="str">
        <f>T("   Amandes, fraîches ou sèches, en coques")</f>
        <v xml:space="preserve">   Amandes, fraîches ou sèches, en coques</v>
      </c>
      <c r="C888">
        <v>35280396</v>
      </c>
      <c r="D888">
        <v>14130</v>
      </c>
    </row>
    <row r="889" spans="1:4" x14ac:dyDescent="0.25">
      <c r="A889" t="str">
        <f>T("   392329")</f>
        <v xml:space="preserve">   392329</v>
      </c>
      <c r="B889" t="str">
        <f>T("   Sacs, sachets, pochettes et cornets, en matières plastiques (autres que les polymères de l'éthylène)")</f>
        <v xml:space="preserve">   Sacs, sachets, pochettes et cornets, en matières plastiques (autres que les polymères de l'éthylène)</v>
      </c>
      <c r="C889">
        <v>5482367</v>
      </c>
      <c r="D889">
        <v>3726</v>
      </c>
    </row>
    <row r="890" spans="1:4" x14ac:dyDescent="0.25">
      <c r="A890" t="str">
        <f>T("   440729")</f>
        <v xml:space="preserve">   440729</v>
      </c>
      <c r="B890" t="s">
        <v>48</v>
      </c>
      <c r="C890">
        <v>114802950</v>
      </c>
      <c r="D890">
        <v>1444706</v>
      </c>
    </row>
    <row r="891" spans="1:4" x14ac:dyDescent="0.25">
      <c r="A891" t="str">
        <f>T("   721420")</f>
        <v xml:space="preserve">   721420</v>
      </c>
      <c r="B891"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91">
        <v>3317444</v>
      </c>
      <c r="D891">
        <v>4680</v>
      </c>
    </row>
    <row r="892" spans="1:4" x14ac:dyDescent="0.25">
      <c r="A892" t="str">
        <f>T("   732690")</f>
        <v xml:space="preserve">   732690</v>
      </c>
      <c r="B89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92">
        <v>10368529</v>
      </c>
      <c r="D892">
        <v>12614</v>
      </c>
    </row>
    <row r="893" spans="1:4" x14ac:dyDescent="0.25">
      <c r="A893" t="str">
        <f>T("SM")</f>
        <v>SM</v>
      </c>
      <c r="B893" t="str">
        <f>T("Saint-Marin")</f>
        <v>Saint-Marin</v>
      </c>
    </row>
    <row r="894" spans="1:4" x14ac:dyDescent="0.25">
      <c r="A894" t="str">
        <f>T("   ZZ_Total_Produit_SH6")</f>
        <v xml:space="preserve">   ZZ_Total_Produit_SH6</v>
      </c>
      <c r="B894" t="str">
        <f>T("   ZZ_Total_Produit_SH6")</f>
        <v xml:space="preserve">   ZZ_Total_Produit_SH6</v>
      </c>
      <c r="C894">
        <v>10000000</v>
      </c>
      <c r="D894">
        <v>9900</v>
      </c>
    </row>
    <row r="895" spans="1:4" x14ac:dyDescent="0.25">
      <c r="A895" t="str">
        <f>T("   110630")</f>
        <v xml:space="preserve">   110630</v>
      </c>
      <c r="B895" t="s">
        <v>19</v>
      </c>
      <c r="C895">
        <v>10000000</v>
      </c>
      <c r="D895">
        <v>9900</v>
      </c>
    </row>
    <row r="896" spans="1:4" x14ac:dyDescent="0.25">
      <c r="A896" t="str">
        <f>T("SN")</f>
        <v>SN</v>
      </c>
      <c r="B896" t="str">
        <f>T("Sénégal")</f>
        <v>Sénégal</v>
      </c>
    </row>
    <row r="897" spans="1:4" x14ac:dyDescent="0.25">
      <c r="A897" t="str">
        <f>T("   ZZ_Total_Produit_SH6")</f>
        <v xml:space="preserve">   ZZ_Total_Produit_SH6</v>
      </c>
      <c r="B897" t="str">
        <f>T("   ZZ_Total_Produit_SH6")</f>
        <v xml:space="preserve">   ZZ_Total_Produit_SH6</v>
      </c>
      <c r="C897">
        <v>811216741</v>
      </c>
      <c r="D897">
        <v>1336341</v>
      </c>
    </row>
    <row r="898" spans="1:4" x14ac:dyDescent="0.25">
      <c r="A898" t="str">
        <f>T("   060290")</f>
        <v xml:space="preserve">   060290</v>
      </c>
      <c r="B898" t="s">
        <v>14</v>
      </c>
      <c r="C898">
        <v>2215000</v>
      </c>
      <c r="D898">
        <v>8500</v>
      </c>
    </row>
    <row r="899" spans="1:4" x14ac:dyDescent="0.25">
      <c r="A899" t="str">
        <f>T("   090420")</f>
        <v xml:space="preserve">   090420</v>
      </c>
      <c r="B899" t="str">
        <f>T("   Piments du genre 'Capsicum' ou du genre 'Pimenta', séchés ou broyés ou pulvérisés")</f>
        <v xml:space="preserve">   Piments du genre 'Capsicum' ou du genre 'Pimenta', séchés ou broyés ou pulvérisés</v>
      </c>
      <c r="C899">
        <v>15957450</v>
      </c>
      <c r="D899">
        <v>14822</v>
      </c>
    </row>
    <row r="900" spans="1:4" x14ac:dyDescent="0.25">
      <c r="A900" t="str">
        <f>T("   150790")</f>
        <v xml:space="preserve">   150790</v>
      </c>
      <c r="B900" t="str">
        <f>T("   Huile de soja et ses fractions, même raffinées, mais non chimiquement modifiées (à l'excl. de l'huile de soja brute)")</f>
        <v xml:space="preserve">   Huile de soja et ses fractions, même raffinées, mais non chimiquement modifiées (à l'excl. de l'huile de soja brute)</v>
      </c>
      <c r="C900">
        <v>491946108</v>
      </c>
      <c r="D900">
        <v>660460</v>
      </c>
    </row>
    <row r="901" spans="1:4" x14ac:dyDescent="0.25">
      <c r="A901" t="str">
        <f>T("   151229")</f>
        <v xml:space="preserve">   151229</v>
      </c>
      <c r="B901"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901">
        <v>214220404</v>
      </c>
      <c r="D901">
        <v>298940</v>
      </c>
    </row>
    <row r="902" spans="1:4" x14ac:dyDescent="0.25">
      <c r="A902" t="str">
        <f>T("   200941")</f>
        <v xml:space="preserve">   200941</v>
      </c>
      <c r="B902"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902">
        <v>15053800</v>
      </c>
      <c r="D902">
        <v>61880</v>
      </c>
    </row>
    <row r="903" spans="1:4" x14ac:dyDescent="0.25">
      <c r="A903" t="str">
        <f>T("   251710")</f>
        <v xml:space="preserve">   251710</v>
      </c>
      <c r="B903" t="str">
        <f>T("   Cailloux, graviers, pierres concassées, des types généralement utilisés pour le bétonnage ou pour l'empierrement des routes, des voies ferrées ou autres ballasts, galets et silex, même traités thermiquement")</f>
        <v xml:space="preserve">   Cailloux, graviers, pierres concassées, des types généralement utilisés pour le bétonnage ou pour l'empierrement des routes, des voies ferrées ou autres ballasts, galets et silex, même traités thermiquement</v>
      </c>
      <c r="C903">
        <v>1980000</v>
      </c>
      <c r="D903">
        <v>88000</v>
      </c>
    </row>
    <row r="904" spans="1:4" x14ac:dyDescent="0.25">
      <c r="A904" t="str">
        <f>T("   392390")</f>
        <v xml:space="preserve">   392390</v>
      </c>
      <c r="B904" t="s">
        <v>42</v>
      </c>
      <c r="C904">
        <v>5147330</v>
      </c>
      <c r="D904">
        <v>2273</v>
      </c>
    </row>
    <row r="905" spans="1:4" x14ac:dyDescent="0.25">
      <c r="A905" t="str">
        <f>T("   481910")</f>
        <v xml:space="preserve">   481910</v>
      </c>
      <c r="B905" t="str">
        <f>T("   Boîtes et caisses en papier ou en carton ondulé")</f>
        <v xml:space="preserve">   Boîtes et caisses en papier ou en carton ondulé</v>
      </c>
      <c r="C905">
        <v>1852014</v>
      </c>
      <c r="D905">
        <v>5599</v>
      </c>
    </row>
    <row r="906" spans="1:4" x14ac:dyDescent="0.25">
      <c r="A906" t="str">
        <f>T("   611300")</f>
        <v xml:space="preserve">   611300</v>
      </c>
      <c r="B906"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906">
        <v>800000</v>
      </c>
      <c r="D906">
        <v>5230</v>
      </c>
    </row>
    <row r="907" spans="1:4" x14ac:dyDescent="0.25">
      <c r="A907" t="str">
        <f>T("   620590")</f>
        <v xml:space="preserve">   620590</v>
      </c>
      <c r="B90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07">
        <v>1500000</v>
      </c>
      <c r="D907">
        <v>2400</v>
      </c>
    </row>
    <row r="908" spans="1:4" x14ac:dyDescent="0.25">
      <c r="A908" t="str">
        <f>T("   640590")</f>
        <v xml:space="preserve">   640590</v>
      </c>
      <c r="B908" t="s">
        <v>66</v>
      </c>
      <c r="C908">
        <v>8000000</v>
      </c>
      <c r="D908">
        <v>18000</v>
      </c>
    </row>
    <row r="909" spans="1:4" x14ac:dyDescent="0.25">
      <c r="A909" t="str">
        <f>T("   680222")</f>
        <v xml:space="preserve">   680222</v>
      </c>
      <c r="B909" t="s">
        <v>67</v>
      </c>
      <c r="C909">
        <v>2200000</v>
      </c>
      <c r="D909">
        <v>44000</v>
      </c>
    </row>
    <row r="910" spans="1:4" x14ac:dyDescent="0.25">
      <c r="A910" t="str">
        <f>T("   731021")</f>
        <v xml:space="preserve">   731021</v>
      </c>
      <c r="B910"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910">
        <v>9362461</v>
      </c>
      <c r="D910">
        <v>25212</v>
      </c>
    </row>
    <row r="911" spans="1:4" x14ac:dyDescent="0.25">
      <c r="A911" t="str">
        <f>T("   732394")</f>
        <v xml:space="preserve">   732394</v>
      </c>
      <c r="B911" t="s">
        <v>82</v>
      </c>
      <c r="C911">
        <v>1656600</v>
      </c>
      <c r="D911">
        <v>2285</v>
      </c>
    </row>
    <row r="912" spans="1:4" x14ac:dyDescent="0.25">
      <c r="A912" t="str">
        <f>T("   842230")</f>
        <v xml:space="preserve">   842230</v>
      </c>
      <c r="B912"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912">
        <v>13421800</v>
      </c>
      <c r="D912">
        <v>60000</v>
      </c>
    </row>
    <row r="913" spans="1:4" x14ac:dyDescent="0.25">
      <c r="A913" t="str">
        <f>T("   850239")</f>
        <v xml:space="preserve">   850239</v>
      </c>
      <c r="B913" t="str">
        <f>T("   Groupes électrogènes (autres qu'à énergie éolienne et à moteurs à piston)")</f>
        <v xml:space="preserve">   Groupes électrogènes (autres qu'à énergie éolienne et à moteurs à piston)</v>
      </c>
      <c r="C913">
        <v>1000000</v>
      </c>
      <c r="D913">
        <v>2000</v>
      </c>
    </row>
    <row r="914" spans="1:4" x14ac:dyDescent="0.25">
      <c r="A914" t="str">
        <f>T("   870322")</f>
        <v xml:space="preserve">   870322</v>
      </c>
      <c r="B914" t="s">
        <v>103</v>
      </c>
      <c r="C914">
        <v>1000000</v>
      </c>
      <c r="D914">
        <v>1245</v>
      </c>
    </row>
    <row r="915" spans="1:4" x14ac:dyDescent="0.25">
      <c r="A915" t="str">
        <f>T("   870421")</f>
        <v xml:space="preserve">   870421</v>
      </c>
      <c r="B915" t="s">
        <v>108</v>
      </c>
      <c r="C915">
        <v>14366774</v>
      </c>
      <c r="D915">
        <v>3465</v>
      </c>
    </row>
    <row r="916" spans="1:4" x14ac:dyDescent="0.25">
      <c r="A916" t="str">
        <f>T("   940350")</f>
        <v xml:space="preserve">   940350</v>
      </c>
      <c r="B916" t="str">
        <f>T("   Meubles pour chambres à coucher, en bois (sauf sièges)")</f>
        <v xml:space="preserve">   Meubles pour chambres à coucher, en bois (sauf sièges)</v>
      </c>
      <c r="C916">
        <v>5150000</v>
      </c>
      <c r="D916">
        <v>6800</v>
      </c>
    </row>
    <row r="917" spans="1:4" x14ac:dyDescent="0.25">
      <c r="A917" t="str">
        <f>T("   940360")</f>
        <v xml:space="preserve">   940360</v>
      </c>
      <c r="B917" t="str">
        <f>T("   Meubles en bois (autres que pour bureaux, cuisines ou chambres à coucher et autres que sièges)")</f>
        <v xml:space="preserve">   Meubles en bois (autres que pour bureaux, cuisines ou chambres à coucher et autres que sièges)</v>
      </c>
      <c r="C917">
        <v>3387000</v>
      </c>
      <c r="D917">
        <v>5230</v>
      </c>
    </row>
    <row r="918" spans="1:4" x14ac:dyDescent="0.25">
      <c r="A918" t="str">
        <f>T("   940380")</f>
        <v xml:space="preserve">   940380</v>
      </c>
      <c r="B918" t="str">
        <f>T("   Meubles en rotin, osier, bambou ou autres matières (sauf métal, bois et matières plastiques)")</f>
        <v xml:space="preserve">   Meubles en rotin, osier, bambou ou autres matières (sauf métal, bois et matières plastiques)</v>
      </c>
      <c r="C918">
        <v>1000000</v>
      </c>
      <c r="D918">
        <v>20000</v>
      </c>
    </row>
    <row r="919" spans="1:4" x14ac:dyDescent="0.25">
      <c r="A919" t="str">
        <f>T("SO")</f>
        <v>SO</v>
      </c>
      <c r="B919" t="str">
        <f>T("Somalie")</f>
        <v>Somalie</v>
      </c>
    </row>
    <row r="920" spans="1:4" x14ac:dyDescent="0.25">
      <c r="A920" t="str">
        <f>T("   ZZ_Total_Produit_SH6")</f>
        <v xml:space="preserve">   ZZ_Total_Produit_SH6</v>
      </c>
      <c r="B920" t="str">
        <f>T("   ZZ_Total_Produit_SH6")</f>
        <v xml:space="preserve">   ZZ_Total_Produit_SH6</v>
      </c>
      <c r="C920">
        <v>4000000</v>
      </c>
      <c r="D920">
        <v>20000</v>
      </c>
    </row>
    <row r="921" spans="1:4" x14ac:dyDescent="0.25">
      <c r="A921" t="str">
        <f>T("   843880")</f>
        <v xml:space="preserve">   843880</v>
      </c>
      <c r="B921" t="str">
        <f>T("   Machines et appareils pour la préparation ou la fabrication industrielles d'aliments ou de boissons, n.d.a.")</f>
        <v xml:space="preserve">   Machines et appareils pour la préparation ou la fabrication industrielles d'aliments ou de boissons, n.d.a.</v>
      </c>
      <c r="C921">
        <v>4000000</v>
      </c>
      <c r="D921">
        <v>20000</v>
      </c>
    </row>
    <row r="922" spans="1:4" x14ac:dyDescent="0.25">
      <c r="A922" t="str">
        <f>T("SY")</f>
        <v>SY</v>
      </c>
      <c r="B922" t="str">
        <f>T("Syrienne, République arabe")</f>
        <v>Syrienne, République arabe</v>
      </c>
    </row>
    <row r="923" spans="1:4" x14ac:dyDescent="0.25">
      <c r="A923" t="str">
        <f>T("   ZZ_Total_Produit_SH6")</f>
        <v xml:space="preserve">   ZZ_Total_Produit_SH6</v>
      </c>
      <c r="B923" t="str">
        <f>T("   ZZ_Total_Produit_SH6")</f>
        <v xml:space="preserve">   ZZ_Total_Produit_SH6</v>
      </c>
      <c r="C923">
        <v>13750000</v>
      </c>
      <c r="D923">
        <v>129270</v>
      </c>
    </row>
    <row r="924" spans="1:4" x14ac:dyDescent="0.25">
      <c r="A924" t="str">
        <f>T("   080119")</f>
        <v xml:space="preserve">   080119</v>
      </c>
      <c r="B924" t="str">
        <f>T("   Noix de coco, fraîches, même sans leur coques ou décortiquées")</f>
        <v xml:space="preserve">   Noix de coco, fraîches, même sans leur coques ou décortiquées</v>
      </c>
      <c r="C924">
        <v>13000000</v>
      </c>
      <c r="D924">
        <v>114270</v>
      </c>
    </row>
    <row r="925" spans="1:4" x14ac:dyDescent="0.25">
      <c r="A925" t="str">
        <f>T("   720449")</f>
        <v xml:space="preserve">   720449</v>
      </c>
      <c r="B925" t="s">
        <v>75</v>
      </c>
      <c r="C925">
        <v>750000</v>
      </c>
      <c r="D925">
        <v>15000</v>
      </c>
    </row>
    <row r="926" spans="1:4" x14ac:dyDescent="0.25">
      <c r="A926" t="str">
        <f>T("TD")</f>
        <v>TD</v>
      </c>
      <c r="B926" t="str">
        <f>T("Tchad")</f>
        <v>Tchad</v>
      </c>
    </row>
    <row r="927" spans="1:4" x14ac:dyDescent="0.25">
      <c r="A927" t="str">
        <f>T("   ZZ_Total_Produit_SH6")</f>
        <v xml:space="preserve">   ZZ_Total_Produit_SH6</v>
      </c>
      <c r="B927" t="str">
        <f>T("   ZZ_Total_Produit_SH6")</f>
        <v xml:space="preserve">   ZZ_Total_Produit_SH6</v>
      </c>
      <c r="C927">
        <v>27469167334</v>
      </c>
      <c r="D927">
        <v>64580784.5</v>
      </c>
    </row>
    <row r="928" spans="1:4" x14ac:dyDescent="0.25">
      <c r="A928" t="str">
        <f>T("   320890")</f>
        <v xml:space="preserve">   320890</v>
      </c>
      <c r="B928" t="s">
        <v>37</v>
      </c>
      <c r="C928">
        <v>24893508</v>
      </c>
      <c r="D928">
        <v>11816.5</v>
      </c>
    </row>
    <row r="929" spans="1:4" x14ac:dyDescent="0.25">
      <c r="A929" t="str">
        <f>T("   720839")</f>
        <v xml:space="preserve">   720839</v>
      </c>
      <c r="B929"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929">
        <v>394441327</v>
      </c>
      <c r="D929">
        <v>1026010</v>
      </c>
    </row>
    <row r="930" spans="1:4" x14ac:dyDescent="0.25">
      <c r="A930" t="str">
        <f>T("   720890")</f>
        <v xml:space="preserve">   720890</v>
      </c>
      <c r="B930"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930">
        <v>55516757</v>
      </c>
      <c r="D930">
        <v>95000</v>
      </c>
    </row>
    <row r="931" spans="1:4" x14ac:dyDescent="0.25">
      <c r="A931" t="str">
        <f>T("   720916")</f>
        <v xml:space="preserve">   720916</v>
      </c>
      <c r="B931"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931">
        <v>45918121</v>
      </c>
      <c r="D931">
        <v>93950</v>
      </c>
    </row>
    <row r="932" spans="1:4" x14ac:dyDescent="0.25">
      <c r="A932" t="str">
        <f>T("   720917")</f>
        <v xml:space="preserve">   720917</v>
      </c>
      <c r="B932"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932">
        <v>245139136</v>
      </c>
      <c r="D932">
        <v>540012</v>
      </c>
    </row>
    <row r="933" spans="1:4" x14ac:dyDescent="0.25">
      <c r="A933" t="str">
        <f>T("   720918")</f>
        <v xml:space="preserve">   720918</v>
      </c>
      <c r="B933" t="str">
        <f>T("   PRODUITS LAMINÉS PLATS, EN FER OU EN ACIERS NON-ALLIÉS, D'UNE LARGEUR &gt;= 600 MM, NON-PLAQUÉS NI REVÊTUS, ENROULÉS, SIMPL. LAMINÉS À FROID, D'UNE ÉPAISSEUR &lt; 0,5 MM")</f>
        <v xml:space="preserve">   PRODUITS LAMINÉS PLATS, EN FER OU EN ACIERS NON-ALLIÉS, D'UNE LARGEUR &gt;= 600 MM, NON-PLAQUÉS NI REVÊTUS, ENROULÉS, SIMPL. LAMINÉS À FROID, D'UNE ÉPAISSEUR &lt; 0,5 MM</v>
      </c>
      <c r="C933">
        <v>44000000</v>
      </c>
      <c r="D933">
        <v>80000</v>
      </c>
    </row>
    <row r="934" spans="1:4" x14ac:dyDescent="0.25">
      <c r="A934" t="str">
        <f>T("   720925")</f>
        <v xml:space="preserve">   720925</v>
      </c>
      <c r="B934" t="str">
        <f>T("   PRODUITS LAMINÉS PLATS, EN FER OU EN ACIERS NON ALLIÉS, D'UNE LARGEUR &gt;= 600 MM, NON ENROULÉS, SIMPLEMENT LAMINÉS À FROID, NON PLAQUÉS NI REVÊTUS, ÉPAISSEUR &gt;= 3 MM")</f>
        <v xml:space="preserve">   PRODUITS LAMINÉS PLATS, EN FER OU EN ACIERS NON ALLIÉS, D'UNE LARGEUR &gt;= 600 MM, NON ENROULÉS, SIMPLEMENT LAMINÉS À FROID, NON PLAQUÉS NI REVÊTUS, ÉPAISSEUR &gt;= 3 MM</v>
      </c>
      <c r="C934">
        <v>38493872</v>
      </c>
      <c r="D934">
        <v>70000</v>
      </c>
    </row>
    <row r="935" spans="1:4" x14ac:dyDescent="0.25">
      <c r="A935" t="str">
        <f>T("   720927")</f>
        <v xml:space="preserve">   720927</v>
      </c>
      <c r="B935" t="str">
        <f>T("   PRODUITS LAMINÉS PLATS, EN FER OU EN ACIERS NON-ALLIÉS, D'UNE LARGEUR &gt;= 600 MM, NON-PLAQUÉS NI REVÊTUS, NON-ENROULÉS, SIMPL. LAMINÉS À FROID, D'UNE ÉPAISSEUR &gt;= 0,5 MM MAIS &lt;= 1 MM")</f>
        <v xml:space="preserve">   PRODUITS LAMINÉS PLATS, EN FER OU EN ACIERS NON-ALLIÉS, D'UNE LARGEUR &gt;= 600 MM, NON-PLAQUÉS NI REVÊTUS, NON-ENROULÉS, SIMPL. LAMINÉS À FROID, D'UNE ÉPAISSEUR &gt;= 0,5 MM MAIS &lt;= 1 MM</v>
      </c>
      <c r="C935">
        <v>30927570</v>
      </c>
      <c r="D935">
        <v>55000</v>
      </c>
    </row>
    <row r="936" spans="1:4" x14ac:dyDescent="0.25">
      <c r="A936" t="str">
        <f>T("   720990")</f>
        <v xml:space="preserve">   720990</v>
      </c>
      <c r="B936"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936">
        <v>345035943</v>
      </c>
      <c r="D936">
        <v>623576</v>
      </c>
    </row>
    <row r="937" spans="1:4" x14ac:dyDescent="0.25">
      <c r="A937" t="str">
        <f>T("   721310")</f>
        <v xml:space="preserve">   721310</v>
      </c>
      <c r="B937" t="str">
        <f>T("   FIL MACHINE EN FER OU ACIERS NON ALLIÉS, ENROULÉS EN COURONNES IRRÉGULIÈRES, AVEC INDENTATIONS, BOURRELETS, CREUX OU RELIEFS OBTENUS LORS DU LAMINAGE")</f>
        <v xml:space="preserve">   FIL MACHINE EN FER OU ACIERS NON ALLIÉS, ENROULÉS EN COURONNES IRRÉGULIÈRES, AVEC INDENTATIONS, BOURRELETS, CREUX OU RELIEFS OBTENUS LORS DU LAMINAGE</v>
      </c>
      <c r="C937">
        <v>127677875</v>
      </c>
      <c r="D937">
        <v>325000</v>
      </c>
    </row>
    <row r="938" spans="1:4" x14ac:dyDescent="0.25">
      <c r="A938" t="str">
        <f>T("   721391")</f>
        <v xml:space="preserve">   721391</v>
      </c>
      <c r="B938"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938">
        <v>10613526191</v>
      </c>
      <c r="D938">
        <v>27465014</v>
      </c>
    </row>
    <row r="939" spans="1:4" x14ac:dyDescent="0.25">
      <c r="A939" t="str">
        <f>T("   721399")</f>
        <v xml:space="preserve">   721399</v>
      </c>
      <c r="B939" t="s">
        <v>76</v>
      </c>
      <c r="C939">
        <v>5290024666</v>
      </c>
      <c r="D939">
        <v>13509000</v>
      </c>
    </row>
    <row r="940" spans="1:4" x14ac:dyDescent="0.25">
      <c r="A940" t="str">
        <f>T("   721420")</f>
        <v xml:space="preserve">   721420</v>
      </c>
      <c r="B94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940">
        <v>506210173</v>
      </c>
      <c r="D940">
        <v>1298000</v>
      </c>
    </row>
    <row r="941" spans="1:4" x14ac:dyDescent="0.25">
      <c r="A941" t="str">
        <f>T("   721590")</f>
        <v xml:space="preserve">   721590</v>
      </c>
      <c r="B941"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941">
        <v>7909447015</v>
      </c>
      <c r="D941">
        <v>16229010</v>
      </c>
    </row>
    <row r="942" spans="1:4" x14ac:dyDescent="0.25">
      <c r="A942" t="str">
        <f>T("   721610")</f>
        <v xml:space="preserve">   721610</v>
      </c>
      <c r="B942" t="str">
        <f>T("   PROFILÉS U, I OU H EN FER OU EN ACIERS NON ALLIÉS, SIMPLEMENT LAMINÉS OU FILÉS À CHAUD, HAUTEUR &lt; 80 MM")</f>
        <v xml:space="preserve">   PROFILÉS U, I OU H EN FER OU EN ACIERS NON ALLIÉS, SIMPLEMENT LAMINÉS OU FILÉS À CHAUD, HAUTEUR &lt; 80 MM</v>
      </c>
      <c r="C942">
        <v>228370274</v>
      </c>
      <c r="D942">
        <v>402000</v>
      </c>
    </row>
    <row r="943" spans="1:4" x14ac:dyDescent="0.25">
      <c r="A943" t="str">
        <f>T("   721622")</f>
        <v xml:space="preserve">   721622</v>
      </c>
      <c r="B943" t="str">
        <f>T("   PROFILÉS EN T EN FER OU ACIERS NON ALLIÉS, SIMPLEMENT LAMINÉS OU FILÉS À CHAUD, HAUTEUR &lt; 80 MM")</f>
        <v xml:space="preserve">   PROFILÉS EN T EN FER OU ACIERS NON ALLIÉS, SIMPLEMENT LAMINÉS OU FILÉS À CHAUD, HAUTEUR &lt; 80 MM</v>
      </c>
      <c r="C943">
        <v>12420000</v>
      </c>
      <c r="D943">
        <v>23000</v>
      </c>
    </row>
    <row r="944" spans="1:4" x14ac:dyDescent="0.25">
      <c r="A944" t="str">
        <f>T("   721631")</f>
        <v xml:space="preserve">   721631</v>
      </c>
      <c r="B944" t="str">
        <f>T("   PROFILÉS EN U, EN FER OU EN ACIERS NON-ALLIÉS, SIMPL. LAMINÉS OU FILÉS À CHAUD, D'UNE HAUTEUR &gt;= 80 MM")</f>
        <v xml:space="preserve">   PROFILÉS EN U, EN FER OU EN ACIERS NON-ALLIÉS, SIMPL. LAMINÉS OU FILÉS À CHAUD, D'UNE HAUTEUR &gt;= 80 MM</v>
      </c>
      <c r="C944">
        <v>133791911</v>
      </c>
      <c r="D944">
        <v>247000</v>
      </c>
    </row>
    <row r="945" spans="1:4" x14ac:dyDescent="0.25">
      <c r="A945" t="str">
        <f>T("   721633")</f>
        <v xml:space="preserve">   721633</v>
      </c>
      <c r="B945" t="str">
        <f>T("   PROFILÉS EN H, EN FER OU EN ACIERS NON-ALLIÉS, SIMPL. LAMINÉS OU FILÉS À CHAUD, D'UNE HAUTEUR &gt;= 80 MM")</f>
        <v xml:space="preserve">   PROFILÉS EN H, EN FER OU EN ACIERS NON-ALLIÉS, SIMPL. LAMINÉS OU FILÉS À CHAUD, D'UNE HAUTEUR &gt;= 80 MM</v>
      </c>
      <c r="C945">
        <v>240126422</v>
      </c>
      <c r="D945">
        <v>447486</v>
      </c>
    </row>
    <row r="946" spans="1:4" x14ac:dyDescent="0.25">
      <c r="A946" t="str">
        <f>T("   721640")</f>
        <v xml:space="preserve">   721640</v>
      </c>
      <c r="B946" t="str">
        <f>T("   PROFILÉS EN L OU EN T, EN FER OU EN ACIERS NON-ALLIÉS, SIMPL. LAMINÉS OU FILÉS À CHAUD, D'UNE HAUTEUR &gt;= 80 MM")</f>
        <v xml:space="preserve">   PROFILÉS EN L OU EN T, EN FER OU EN ACIERS NON-ALLIÉS, SIMPL. LAMINÉS OU FILÉS À CHAUD, D'UNE HAUTEUR &gt;= 80 MM</v>
      </c>
      <c r="C946">
        <v>8100000</v>
      </c>
      <c r="D946">
        <v>15000</v>
      </c>
    </row>
    <row r="947" spans="1:4" x14ac:dyDescent="0.25">
      <c r="A947" t="str">
        <f>T("   721650")</f>
        <v xml:space="preserve">   721650</v>
      </c>
      <c r="B947"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947">
        <v>80229940</v>
      </c>
      <c r="D947">
        <v>136390</v>
      </c>
    </row>
    <row r="948" spans="1:4" x14ac:dyDescent="0.25">
      <c r="A948" t="str">
        <f>T("   721661")</f>
        <v xml:space="preserve">   721661</v>
      </c>
      <c r="B948"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948">
        <v>35749989</v>
      </c>
      <c r="D948">
        <v>65000</v>
      </c>
    </row>
    <row r="949" spans="1:4" x14ac:dyDescent="0.25">
      <c r="A949" t="str">
        <f>T("   721669")</f>
        <v xml:space="preserve">   721669</v>
      </c>
      <c r="B949"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949">
        <v>203100364</v>
      </c>
      <c r="D949">
        <v>415520</v>
      </c>
    </row>
    <row r="950" spans="1:4" x14ac:dyDescent="0.25">
      <c r="A950" t="str">
        <f>T("   721699")</f>
        <v xml:space="preserve">   721699</v>
      </c>
      <c r="B950" t="s">
        <v>78</v>
      </c>
      <c r="C950">
        <v>4240004</v>
      </c>
      <c r="D950">
        <v>8000</v>
      </c>
    </row>
    <row r="951" spans="1:4" x14ac:dyDescent="0.25">
      <c r="A951" t="str">
        <f>T("   721790")</f>
        <v xml:space="preserve">   721790</v>
      </c>
      <c r="B951"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951">
        <v>156480875</v>
      </c>
      <c r="D951">
        <v>250000</v>
      </c>
    </row>
    <row r="952" spans="1:4" x14ac:dyDescent="0.25">
      <c r="A952" t="str">
        <f>T("   730690")</f>
        <v xml:space="preserve">   730690</v>
      </c>
      <c r="B952"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952">
        <v>5174998</v>
      </c>
      <c r="D952">
        <v>9000</v>
      </c>
    </row>
    <row r="953" spans="1:4" x14ac:dyDescent="0.25">
      <c r="A953" t="str">
        <f>T("   731700")</f>
        <v xml:space="preserve">   731700</v>
      </c>
      <c r="B953"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953">
        <v>690130403</v>
      </c>
      <c r="D953">
        <v>1141000</v>
      </c>
    </row>
    <row r="954" spans="1:4" x14ac:dyDescent="0.25">
      <c r="A954" t="str">
        <f>T("TG")</f>
        <v>TG</v>
      </c>
      <c r="B954" t="str">
        <f>T("Togo")</f>
        <v>Togo</v>
      </c>
    </row>
    <row r="955" spans="1:4" x14ac:dyDescent="0.25">
      <c r="A955" t="str">
        <f>T("   ZZ_Total_Produit_SH6")</f>
        <v xml:space="preserve">   ZZ_Total_Produit_SH6</v>
      </c>
      <c r="B955" t="str">
        <f>T("   ZZ_Total_Produit_SH6")</f>
        <v xml:space="preserve">   ZZ_Total_Produit_SH6</v>
      </c>
      <c r="C955">
        <v>3860569792</v>
      </c>
      <c r="D955">
        <v>112046149</v>
      </c>
    </row>
    <row r="956" spans="1:4" x14ac:dyDescent="0.25">
      <c r="A956" t="str">
        <f>T("   030379")</f>
        <v xml:space="preserve">   030379</v>
      </c>
      <c r="B956" t="s">
        <v>13</v>
      </c>
      <c r="C956">
        <v>63600000</v>
      </c>
      <c r="D956">
        <v>211100</v>
      </c>
    </row>
    <row r="957" spans="1:4" x14ac:dyDescent="0.25">
      <c r="A957" t="str">
        <f>T("   080131")</f>
        <v xml:space="preserve">   080131</v>
      </c>
      <c r="B957" t="str">
        <f>T("   Noix de cajou, fraîches ou sèches, en coques")</f>
        <v xml:space="preserve">   Noix de cajou, fraîches ou sèches, en coques</v>
      </c>
      <c r="C957">
        <v>39000000</v>
      </c>
      <c r="D957">
        <v>624000</v>
      </c>
    </row>
    <row r="958" spans="1:4" x14ac:dyDescent="0.25">
      <c r="A958" t="str">
        <f>T("   090220")</f>
        <v xml:space="preserve">   090220</v>
      </c>
      <c r="B958" t="str">
        <f>T("   Thé vert [thé non fermenté], présenté en emballages immédiats d'un contenu &gt; 3 kg")</f>
        <v xml:space="preserve">   Thé vert [thé non fermenté], présenté en emballages immédiats d'un contenu &gt; 3 kg</v>
      </c>
      <c r="C958">
        <v>140000</v>
      </c>
      <c r="D958">
        <v>80</v>
      </c>
    </row>
    <row r="959" spans="1:4" x14ac:dyDescent="0.25">
      <c r="A959" t="str">
        <f>T("   110311")</f>
        <v xml:space="preserve">   110311</v>
      </c>
      <c r="B959" t="str">
        <f>T("   Gruaux et semoules de froment [blé]")</f>
        <v xml:space="preserve">   Gruaux et semoules de froment [blé]</v>
      </c>
      <c r="C959">
        <v>333695340</v>
      </c>
      <c r="D959">
        <v>995743</v>
      </c>
    </row>
    <row r="960" spans="1:4" x14ac:dyDescent="0.25">
      <c r="A960" t="str">
        <f>T("   170490")</f>
        <v xml:space="preserve">   170490</v>
      </c>
      <c r="B960" t="str">
        <f>T("   Sucreries sans cacao, y.c. le chocolat blanc (à l'excl. des gommes à mâcher)")</f>
        <v xml:space="preserve">   Sucreries sans cacao, y.c. le chocolat blanc (à l'excl. des gommes à mâcher)</v>
      </c>
      <c r="C960">
        <v>240000</v>
      </c>
      <c r="D960">
        <v>420</v>
      </c>
    </row>
    <row r="961" spans="1:4" x14ac:dyDescent="0.25">
      <c r="A961" t="str">
        <f>T("   190230")</f>
        <v xml:space="preserve">   190230</v>
      </c>
      <c r="B961" t="str">
        <f>T("   Pâtes alimentaires, cuites ou autrement préparées (à l'excl. des pâtes alimentaires farcies)")</f>
        <v xml:space="preserve">   Pâtes alimentaires, cuites ou autrement préparées (à l'excl. des pâtes alimentaires farcies)</v>
      </c>
      <c r="C961">
        <v>476602200</v>
      </c>
      <c r="D961">
        <v>1108780</v>
      </c>
    </row>
    <row r="962" spans="1:4" x14ac:dyDescent="0.25">
      <c r="A962" t="str">
        <f>T("   190410")</f>
        <v xml:space="preserve">   190410</v>
      </c>
      <c r="B962" t="str">
        <f>T("   PRODUITS À BASE DE CÉRÉALES OBTENUS PAR SOUFFLAGE OU GRILLAGE [CORN FLAKES, P.EX.]")</f>
        <v xml:space="preserve">   PRODUITS À BASE DE CÉRÉALES OBTENUS PAR SOUFFLAGE OU GRILLAGE [CORN FLAKES, P.EX.]</v>
      </c>
      <c r="C962">
        <v>715000</v>
      </c>
      <c r="D962">
        <v>700</v>
      </c>
    </row>
    <row r="963" spans="1:4" x14ac:dyDescent="0.25">
      <c r="A963" t="str">
        <f>T("   190590")</f>
        <v xml:space="preserve">   190590</v>
      </c>
      <c r="B963" t="s">
        <v>23</v>
      </c>
      <c r="C963">
        <v>7295000</v>
      </c>
      <c r="D963">
        <v>8500</v>
      </c>
    </row>
    <row r="964" spans="1:4" x14ac:dyDescent="0.25">
      <c r="A964" t="str">
        <f>T("   210230")</f>
        <v xml:space="preserve">   210230</v>
      </c>
      <c r="B964" t="str">
        <f>T("   Poudres à lever préparées")</f>
        <v xml:space="preserve">   Poudres à lever préparées</v>
      </c>
      <c r="C964">
        <v>80000</v>
      </c>
      <c r="D964">
        <v>15</v>
      </c>
    </row>
    <row r="965" spans="1:4" x14ac:dyDescent="0.25">
      <c r="A965" t="str">
        <f>T("   220110")</f>
        <v xml:space="preserve">   220110</v>
      </c>
      <c r="B965" t="str">
        <f>T("   Eaux minérales et eaux gazéifiées, non additionnées de sucre ou d'autres édulcorants ni aromatisées")</f>
        <v xml:space="preserve">   Eaux minérales et eaux gazéifiées, non additionnées de sucre ou d'autres édulcorants ni aromatisées</v>
      </c>
      <c r="C965">
        <v>31690825</v>
      </c>
      <c r="D965">
        <v>170258</v>
      </c>
    </row>
    <row r="966" spans="1:4" x14ac:dyDescent="0.25">
      <c r="A966" t="str">
        <f>T("   220210")</f>
        <v xml:space="preserve">   220210</v>
      </c>
      <c r="B96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966">
        <v>22098855</v>
      </c>
      <c r="D966">
        <v>58113</v>
      </c>
    </row>
    <row r="967" spans="1:4" x14ac:dyDescent="0.25">
      <c r="A967" t="str">
        <f>T("   230610")</f>
        <v xml:space="preserve">   230610</v>
      </c>
      <c r="B967"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967">
        <v>97549680</v>
      </c>
      <c r="D967">
        <v>658400</v>
      </c>
    </row>
    <row r="968" spans="1:4" x14ac:dyDescent="0.25">
      <c r="A968" t="str">
        <f>T("   240220")</f>
        <v xml:space="preserve">   240220</v>
      </c>
      <c r="B968" t="str">
        <f>T("   Cigarettes contenant du tabac")</f>
        <v xml:space="preserve">   Cigarettes contenant du tabac</v>
      </c>
      <c r="C968">
        <v>141375000</v>
      </c>
      <c r="D968">
        <v>10875</v>
      </c>
    </row>
    <row r="969" spans="1:4" x14ac:dyDescent="0.25">
      <c r="A969" t="str">
        <f>T("   251520")</f>
        <v xml:space="preserve">   251520</v>
      </c>
      <c r="B969" t="s">
        <v>28</v>
      </c>
      <c r="C969">
        <v>834245800</v>
      </c>
      <c r="D969">
        <v>75330000</v>
      </c>
    </row>
    <row r="970" spans="1:4" x14ac:dyDescent="0.25">
      <c r="A970" t="str">
        <f>T("   251749")</f>
        <v xml:space="preserve">   251749</v>
      </c>
      <c r="B970" t="s">
        <v>30</v>
      </c>
      <c r="C970">
        <v>76937500</v>
      </c>
      <c r="D970">
        <v>30775000</v>
      </c>
    </row>
    <row r="971" spans="1:4" x14ac:dyDescent="0.25">
      <c r="A971" t="str">
        <f>T("   252329")</f>
        <v xml:space="preserve">   252329</v>
      </c>
      <c r="B971" t="str">
        <f>T("   Ciment Portland normal ou modéré (à l'excl. des ciments Portland blancs, même colorés artificiellement)")</f>
        <v xml:space="preserve">   Ciment Portland normal ou modéré (à l'excl. des ciments Portland blancs, même colorés artificiellement)</v>
      </c>
      <c r="C971">
        <v>3956400</v>
      </c>
      <c r="D971">
        <v>350000</v>
      </c>
    </row>
    <row r="972" spans="1:4" x14ac:dyDescent="0.25">
      <c r="A972" t="str">
        <f>T("   271320")</f>
        <v xml:space="preserve">   271320</v>
      </c>
      <c r="B972" t="str">
        <f>T("   Bitume de pétrole")</f>
        <v xml:space="preserve">   Bitume de pétrole</v>
      </c>
      <c r="C972">
        <v>3834000</v>
      </c>
      <c r="D972">
        <v>9000</v>
      </c>
    </row>
    <row r="973" spans="1:4" x14ac:dyDescent="0.25">
      <c r="A973" t="str">
        <f>T("   300420")</f>
        <v xml:space="preserve">   300420</v>
      </c>
      <c r="B973" t="s">
        <v>32</v>
      </c>
      <c r="C973">
        <v>260078074</v>
      </c>
      <c r="D973">
        <v>14888</v>
      </c>
    </row>
    <row r="974" spans="1:4" x14ac:dyDescent="0.25">
      <c r="A974" t="str">
        <f>T("   300439")</f>
        <v xml:space="preserve">   300439</v>
      </c>
      <c r="B974" t="s">
        <v>33</v>
      </c>
      <c r="C974">
        <v>25132770</v>
      </c>
      <c r="D974">
        <v>2070</v>
      </c>
    </row>
    <row r="975" spans="1:4" x14ac:dyDescent="0.25">
      <c r="A975" t="str">
        <f>T("   300490")</f>
        <v xml:space="preserve">   300490</v>
      </c>
      <c r="B975" t="s">
        <v>34</v>
      </c>
      <c r="C975">
        <v>75833400</v>
      </c>
      <c r="D975">
        <v>4504</v>
      </c>
    </row>
    <row r="976" spans="1:4" x14ac:dyDescent="0.25">
      <c r="A976" t="str">
        <f>T("   300590")</f>
        <v xml:space="preserve">   300590</v>
      </c>
      <c r="B976" t="s">
        <v>35</v>
      </c>
      <c r="C976">
        <v>3675500</v>
      </c>
      <c r="D976">
        <v>1445</v>
      </c>
    </row>
    <row r="977" spans="1:4" x14ac:dyDescent="0.25">
      <c r="A977" t="str">
        <f>T("   320820")</f>
        <v xml:space="preserve">   320820</v>
      </c>
      <c r="B977" t="s">
        <v>36</v>
      </c>
      <c r="C977">
        <v>14649168</v>
      </c>
      <c r="D977">
        <v>5465</v>
      </c>
    </row>
    <row r="978" spans="1:4" x14ac:dyDescent="0.25">
      <c r="A978" t="str">
        <f>T("   320890")</f>
        <v xml:space="preserve">   320890</v>
      </c>
      <c r="B978" t="s">
        <v>37</v>
      </c>
      <c r="C978">
        <v>71570281</v>
      </c>
      <c r="D978">
        <v>18689</v>
      </c>
    </row>
    <row r="979" spans="1:4" x14ac:dyDescent="0.25">
      <c r="A979" t="str">
        <f>T("   320910")</f>
        <v xml:space="preserve">   320910</v>
      </c>
      <c r="B979" t="str">
        <f>T("   Peintures et vernis à base de polymères acryliques ou vinyliques, dispersés ou dissous dans un milieu aqueux")</f>
        <v xml:space="preserve">   Peintures et vernis à base de polymères acryliques ou vinyliques, dispersés ou dissous dans un milieu aqueux</v>
      </c>
      <c r="C979">
        <v>141853558</v>
      </c>
      <c r="D979">
        <v>245644</v>
      </c>
    </row>
    <row r="980" spans="1:4" x14ac:dyDescent="0.25">
      <c r="A980" t="str">
        <f>T("   320990")</f>
        <v xml:space="preserve">   320990</v>
      </c>
      <c r="B980"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980">
        <v>28859810</v>
      </c>
      <c r="D980">
        <v>65576</v>
      </c>
    </row>
    <row r="981" spans="1:4" x14ac:dyDescent="0.25">
      <c r="A981" t="str">
        <f>T("   321000")</f>
        <v xml:space="preserve">   321000</v>
      </c>
      <c r="B981"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981">
        <v>22696161</v>
      </c>
      <c r="D981">
        <v>47998</v>
      </c>
    </row>
    <row r="982" spans="1:4" x14ac:dyDescent="0.25">
      <c r="A982" t="str">
        <f>T("   330210")</f>
        <v xml:space="preserve">   330210</v>
      </c>
      <c r="B982"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982">
        <v>15662445</v>
      </c>
      <c r="D982">
        <v>634</v>
      </c>
    </row>
    <row r="983" spans="1:4" x14ac:dyDescent="0.25">
      <c r="A983" t="str">
        <f>T("   380810")</f>
        <v xml:space="preserve">   380810</v>
      </c>
      <c r="B983"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983">
        <v>31500000</v>
      </c>
      <c r="D983">
        <v>85500</v>
      </c>
    </row>
    <row r="984" spans="1:4" x14ac:dyDescent="0.25">
      <c r="A984" t="str">
        <f>T("   390120")</f>
        <v xml:space="preserve">   390120</v>
      </c>
      <c r="B984" t="str">
        <f>T("   Polyéthylène d'une densité &gt;= 0,94, sous formes primaires")</f>
        <v xml:space="preserve">   Polyéthylène d'une densité &gt;= 0,94, sous formes primaires</v>
      </c>
      <c r="C984">
        <v>42144397</v>
      </c>
      <c r="D984">
        <v>54000</v>
      </c>
    </row>
    <row r="985" spans="1:4" x14ac:dyDescent="0.25">
      <c r="A985" t="str">
        <f>T("   390410")</f>
        <v xml:space="preserve">   390410</v>
      </c>
      <c r="B985" t="str">
        <f>T("   Poly[chlorure de vinyle], sous formes primaires, non mélangé à d'autres substances")</f>
        <v xml:space="preserve">   Poly[chlorure de vinyle], sous formes primaires, non mélangé à d'autres substances</v>
      </c>
      <c r="C985">
        <v>32011306</v>
      </c>
      <c r="D985">
        <v>36000</v>
      </c>
    </row>
    <row r="986" spans="1:4" x14ac:dyDescent="0.25">
      <c r="A986" t="str">
        <f>T("   391590")</f>
        <v xml:space="preserve">   391590</v>
      </c>
      <c r="B986"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986">
        <v>5844375</v>
      </c>
      <c r="D986">
        <v>233775</v>
      </c>
    </row>
    <row r="987" spans="1:4" x14ac:dyDescent="0.25">
      <c r="A987" t="str">
        <f>T("   391721")</f>
        <v xml:space="preserve">   391721</v>
      </c>
      <c r="B987" t="str">
        <f>T("   TUBES ET TUYAUX RIGIDES, EN POLYMÈRES DE L'ÉTHYLÈNE")</f>
        <v xml:space="preserve">   TUBES ET TUYAUX RIGIDES, EN POLYMÈRES DE L'ÉTHYLÈNE</v>
      </c>
      <c r="C987">
        <v>57755797</v>
      </c>
      <c r="D987">
        <v>70500</v>
      </c>
    </row>
    <row r="988" spans="1:4" x14ac:dyDescent="0.25">
      <c r="A988" t="str">
        <f>T("   391722")</f>
        <v xml:space="preserve">   391722</v>
      </c>
      <c r="B988" t="str">
        <f>T("   TUBES ET TUYAUX RIGIDES, EN POLYMÈRES DU PROPYLÈNE")</f>
        <v xml:space="preserve">   TUBES ET TUYAUX RIGIDES, EN POLYMÈRES DU PROPYLÈNE</v>
      </c>
      <c r="C988">
        <v>20450000</v>
      </c>
      <c r="D988">
        <v>24750</v>
      </c>
    </row>
    <row r="989" spans="1:4" x14ac:dyDescent="0.25">
      <c r="A989" t="str">
        <f>T("   391723")</f>
        <v xml:space="preserve">   391723</v>
      </c>
      <c r="B989" t="str">
        <f>T("   TUBES ET TUYAUX RIGIDES, EN POLYMÈRES DU CHLORURE DE VINYLE")</f>
        <v xml:space="preserve">   TUBES ET TUYAUX RIGIDES, EN POLYMÈRES DU CHLORURE DE VINYLE</v>
      </c>
      <c r="C989">
        <v>58917896</v>
      </c>
      <c r="D989">
        <v>67020</v>
      </c>
    </row>
    <row r="990" spans="1:4" x14ac:dyDescent="0.25">
      <c r="A990" t="str">
        <f>T("   392020")</f>
        <v xml:space="preserve">   392020</v>
      </c>
      <c r="B990" t="s">
        <v>41</v>
      </c>
      <c r="C990">
        <v>25780468</v>
      </c>
      <c r="D990">
        <v>12668</v>
      </c>
    </row>
    <row r="991" spans="1:4" x14ac:dyDescent="0.25">
      <c r="A991" t="str">
        <f>T("   401019")</f>
        <v xml:space="preserve">   401019</v>
      </c>
      <c r="B991"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991">
        <v>8800500</v>
      </c>
      <c r="D991">
        <v>5751</v>
      </c>
    </row>
    <row r="992" spans="1:4" x14ac:dyDescent="0.25">
      <c r="A992" t="str">
        <f>T("   401219")</f>
        <v xml:space="preserve">   401219</v>
      </c>
      <c r="B992"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992">
        <v>4825980</v>
      </c>
      <c r="D992">
        <v>850</v>
      </c>
    </row>
    <row r="993" spans="1:4" x14ac:dyDescent="0.25">
      <c r="A993" t="str">
        <f>T("   442190")</f>
        <v xml:space="preserve">   442190</v>
      </c>
      <c r="B993" t="str">
        <f>T("   Ouvrages, en bois, n.d.a.")</f>
        <v xml:space="preserve">   Ouvrages, en bois, n.d.a.</v>
      </c>
      <c r="C993">
        <v>375000</v>
      </c>
      <c r="D993">
        <v>800</v>
      </c>
    </row>
    <row r="994" spans="1:4" x14ac:dyDescent="0.25">
      <c r="A994" t="str">
        <f>T("   481960")</f>
        <v xml:space="preserve">   481960</v>
      </c>
      <c r="B994" t="str">
        <f>T("   Cartonnages de bureau, de magasin ou simil., rigides (à l'excl. des emballages)")</f>
        <v xml:space="preserve">   Cartonnages de bureau, de magasin ou simil., rigides (à l'excl. des emballages)</v>
      </c>
      <c r="C994">
        <v>28020529</v>
      </c>
      <c r="D994">
        <v>34103</v>
      </c>
    </row>
    <row r="995" spans="1:4" x14ac:dyDescent="0.25">
      <c r="A995" t="str">
        <f>T("   490700")</f>
        <v xml:space="preserve">   490700</v>
      </c>
      <c r="B995" t="s">
        <v>54</v>
      </c>
      <c r="C995">
        <v>30300000</v>
      </c>
      <c r="D995">
        <v>14142</v>
      </c>
    </row>
    <row r="996" spans="1:4" x14ac:dyDescent="0.25">
      <c r="A996" t="str">
        <f>T("   520812")</f>
        <v xml:space="preserve">   520812</v>
      </c>
      <c r="B996" t="str">
        <f>T("   Tissus de coton, écrus, à armure toile, contenant &gt;= 85% en poids de coton, d'un poids &gt; 100 g/m² mais &lt;= 200 g/m²")</f>
        <v xml:space="preserve">   Tissus de coton, écrus, à armure toile, contenant &gt;= 85% en poids de coton, d'un poids &gt; 100 g/m² mais &lt;= 200 g/m²</v>
      </c>
      <c r="C996">
        <v>9374400</v>
      </c>
      <c r="D996">
        <v>3355</v>
      </c>
    </row>
    <row r="997" spans="1:4" x14ac:dyDescent="0.25">
      <c r="A997" t="str">
        <f>T("   520919")</f>
        <v xml:space="preserve">   520919</v>
      </c>
      <c r="B997" t="str">
        <f>T("   Tissus de coton, écrus, contenant &gt;= 85% en poids de coton, d'un poids &gt; 200 g/m² (à l'excl. des tissus à armure toile ou à armure sergé [y.c. le croisé] d'un rapport d'armure &lt;= 4)")</f>
        <v xml:space="preserve">   Tissus de coton, écrus, contenant &gt;= 85% en poids de coton, d'un poids &gt; 200 g/m² (à l'excl. des tissus à armure toile ou à armure sergé [y.c. le croisé] d'un rapport d'armure &lt;= 4)</v>
      </c>
      <c r="C997">
        <v>2000000</v>
      </c>
      <c r="D997">
        <v>726</v>
      </c>
    </row>
    <row r="998" spans="1:4" x14ac:dyDescent="0.25">
      <c r="A998" t="str">
        <f>T("   621050")</f>
        <v xml:space="preserve">   621050</v>
      </c>
      <c r="B998" t="s">
        <v>62</v>
      </c>
      <c r="C998">
        <v>641126</v>
      </c>
      <c r="D998">
        <v>185</v>
      </c>
    </row>
    <row r="999" spans="1:4" x14ac:dyDescent="0.25">
      <c r="A999" t="str">
        <f>T("   630900")</f>
        <v xml:space="preserve">   630900</v>
      </c>
      <c r="B999" t="s">
        <v>63</v>
      </c>
      <c r="C999">
        <v>3000000</v>
      </c>
      <c r="D999">
        <v>420</v>
      </c>
    </row>
    <row r="1000" spans="1:4" x14ac:dyDescent="0.25">
      <c r="A1000" t="str">
        <f>T("   681019")</f>
        <v xml:space="preserve">   681019</v>
      </c>
      <c r="B1000"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000">
        <v>33812000</v>
      </c>
      <c r="D1000">
        <v>320951</v>
      </c>
    </row>
    <row r="1001" spans="1:4" x14ac:dyDescent="0.25">
      <c r="A1001" t="str">
        <f>T("   720918")</f>
        <v xml:space="preserve">   720918</v>
      </c>
      <c r="B1001" t="str">
        <f>T("   PRODUITS LAMINÉS PLATS, EN FER OU EN ACIERS NON-ALLIÉS, D'UNE LARGEUR &gt;= 600 MM, NON-PLAQUÉS NI REVÊTUS, ENROULÉS, SIMPL. LAMINÉS À FROID, D'UNE ÉPAISSEUR &lt; 0,5 MM")</f>
        <v xml:space="preserve">   PRODUITS LAMINÉS PLATS, EN FER OU EN ACIERS NON-ALLIÉS, D'UNE LARGEUR &gt;= 600 MM, NON-PLAQUÉS NI REVÊTUS, ENROULÉS, SIMPL. LAMINÉS À FROID, D'UNE ÉPAISSEUR &lt; 0,5 MM</v>
      </c>
      <c r="C1001">
        <v>25320000</v>
      </c>
      <c r="D1001">
        <v>40380</v>
      </c>
    </row>
    <row r="1002" spans="1:4" x14ac:dyDescent="0.25">
      <c r="A1002" t="str">
        <f>T("   730900")</f>
        <v xml:space="preserve">   730900</v>
      </c>
      <c r="B1002" t="s">
        <v>79</v>
      </c>
      <c r="C1002">
        <v>2696000</v>
      </c>
      <c r="D1002">
        <v>18200</v>
      </c>
    </row>
    <row r="1003" spans="1:4" x14ac:dyDescent="0.25">
      <c r="A1003" t="str">
        <f>T("   732620")</f>
        <v xml:space="preserve">   732620</v>
      </c>
      <c r="B1003" t="str">
        <f>T("   Ouvrages en fil de fer ou d'acier, n.d.a.")</f>
        <v xml:space="preserve">   Ouvrages en fil de fer ou d'acier, n.d.a.</v>
      </c>
      <c r="C1003">
        <v>285980</v>
      </c>
      <c r="D1003">
        <v>100</v>
      </c>
    </row>
    <row r="1004" spans="1:4" x14ac:dyDescent="0.25">
      <c r="A1004" t="str">
        <f>T("   820790")</f>
        <v xml:space="preserve">   820790</v>
      </c>
      <c r="B1004" t="str">
        <f>T("   Outils interchangeables pour outillage à main, mécanique ou non, ou pour machines-outils, n.d.a.")</f>
        <v xml:space="preserve">   Outils interchangeables pour outillage à main, mécanique ou non, ou pour machines-outils, n.d.a.</v>
      </c>
      <c r="C1004">
        <v>4500000</v>
      </c>
      <c r="D1004">
        <v>15500</v>
      </c>
    </row>
    <row r="1005" spans="1:4" x14ac:dyDescent="0.25">
      <c r="A1005" t="str">
        <f>T("   830140")</f>
        <v xml:space="preserve">   830140</v>
      </c>
      <c r="B1005"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005">
        <v>240000</v>
      </c>
      <c r="D1005">
        <v>2250</v>
      </c>
    </row>
    <row r="1006" spans="1:4" x14ac:dyDescent="0.25">
      <c r="A1006" t="str">
        <f>T("   830910")</f>
        <v xml:space="preserve">   830910</v>
      </c>
      <c r="B1006" t="str">
        <f>T("   Bouchons-couronnes en métaux communs")</f>
        <v xml:space="preserve">   Bouchons-couronnes en métaux communs</v>
      </c>
      <c r="C1006">
        <v>1084000</v>
      </c>
      <c r="D1006">
        <v>465</v>
      </c>
    </row>
    <row r="1007" spans="1:4" x14ac:dyDescent="0.25">
      <c r="A1007" t="str">
        <f>T("   841280")</f>
        <v xml:space="preserve">   841280</v>
      </c>
      <c r="B1007"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1007">
        <v>395000</v>
      </c>
      <c r="D1007">
        <v>1050</v>
      </c>
    </row>
    <row r="1008" spans="1:4" x14ac:dyDescent="0.25">
      <c r="A1008" t="str">
        <f>T("   841810")</f>
        <v xml:space="preserve">   841810</v>
      </c>
      <c r="B1008" t="str">
        <f>T("   Réfrigérateurs et congélateurs-conservateurs combinés, avec portes extérieures séparées")</f>
        <v xml:space="preserve">   Réfrigérateurs et congélateurs-conservateurs combinés, avec portes extérieures séparées</v>
      </c>
      <c r="C1008">
        <v>95716868</v>
      </c>
      <c r="D1008">
        <v>29760</v>
      </c>
    </row>
    <row r="1009" spans="1:4" x14ac:dyDescent="0.25">
      <c r="A1009" t="str">
        <f>T("   841829")</f>
        <v xml:space="preserve">   841829</v>
      </c>
      <c r="B1009" t="str">
        <f>T("   Réfrigérateurs ménagers à absorption, non-électriques")</f>
        <v xml:space="preserve">   Réfrigérateurs ménagers à absorption, non-électriques</v>
      </c>
      <c r="C1009">
        <v>78902433</v>
      </c>
      <c r="D1009">
        <v>23000</v>
      </c>
    </row>
    <row r="1010" spans="1:4" x14ac:dyDescent="0.25">
      <c r="A1010" t="str">
        <f>T("   841989")</f>
        <v xml:space="preserve">   841989</v>
      </c>
      <c r="B1010" t="s">
        <v>95</v>
      </c>
      <c r="C1010">
        <v>1500000</v>
      </c>
      <c r="D1010">
        <v>18200</v>
      </c>
    </row>
    <row r="1011" spans="1:4" x14ac:dyDescent="0.25">
      <c r="A1011" t="str">
        <f>T("   842630")</f>
        <v xml:space="preserve">   842630</v>
      </c>
      <c r="B1011" t="str">
        <f>T("   Grues sur portiques")</f>
        <v xml:space="preserve">   Grues sur portiques</v>
      </c>
      <c r="C1011">
        <v>212032510</v>
      </c>
      <c r="D1011">
        <v>68400</v>
      </c>
    </row>
    <row r="1012" spans="1:4" x14ac:dyDescent="0.25">
      <c r="A1012" t="str">
        <f>T("   842890")</f>
        <v xml:space="preserve">   842890</v>
      </c>
      <c r="B1012" t="str">
        <f>T("   Machines et appareils de levage, chargement, déchargement ou manutention, n.d.a.")</f>
        <v xml:space="preserve">   Machines et appareils de levage, chargement, déchargement ou manutention, n.d.a.</v>
      </c>
      <c r="C1012">
        <v>1500000</v>
      </c>
      <c r="D1012">
        <v>2935</v>
      </c>
    </row>
    <row r="1013" spans="1:4" x14ac:dyDescent="0.25">
      <c r="A1013" t="str">
        <f>T("   842920")</f>
        <v xml:space="preserve">   842920</v>
      </c>
      <c r="B1013" t="str">
        <f>T("   Niveleuses autopropulsées")</f>
        <v xml:space="preserve">   Niveleuses autopropulsées</v>
      </c>
      <c r="C1013">
        <v>26000000</v>
      </c>
      <c r="D1013">
        <v>18000</v>
      </c>
    </row>
    <row r="1014" spans="1:4" x14ac:dyDescent="0.25">
      <c r="A1014" t="str">
        <f>T("   842940")</f>
        <v xml:space="preserve">   842940</v>
      </c>
      <c r="B1014" t="str">
        <f>T("   Rouleaux compresseurs et autres compacteuses, autopropulsés")</f>
        <v xml:space="preserve">   Rouleaux compresseurs et autres compacteuses, autopropulsés</v>
      </c>
      <c r="C1014">
        <v>52797116</v>
      </c>
      <c r="D1014">
        <v>16712</v>
      </c>
    </row>
    <row r="1015" spans="1:4" x14ac:dyDescent="0.25">
      <c r="A1015" t="str">
        <f>T("   842959")</f>
        <v xml:space="preserve">   842959</v>
      </c>
      <c r="B101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015">
        <v>27000000</v>
      </c>
      <c r="D1015">
        <v>23000</v>
      </c>
    </row>
    <row r="1016" spans="1:4" x14ac:dyDescent="0.25">
      <c r="A1016" t="str">
        <f>T("   843149")</f>
        <v xml:space="preserve">   843149</v>
      </c>
      <c r="B1016" t="str">
        <f>T("   Parties de machines et appareils du n° 8426, 8429 ou 8430, n.d.a.")</f>
        <v xml:space="preserve">   Parties de machines et appareils du n° 8426, 8429 ou 8430, n.d.a.</v>
      </c>
      <c r="C1016">
        <v>102872739</v>
      </c>
      <c r="D1016">
        <v>49612</v>
      </c>
    </row>
    <row r="1017" spans="1:4" x14ac:dyDescent="0.25">
      <c r="A1017" t="str">
        <f>T("   847990")</f>
        <v xml:space="preserve">   847990</v>
      </c>
      <c r="B1017" t="str">
        <f>T("   Parties de machines et appareils, y.c. les appareils mécaniques, n.d.a.")</f>
        <v xml:space="preserve">   Parties de machines et appareils, y.c. les appareils mécaniques, n.d.a.</v>
      </c>
      <c r="C1017">
        <v>500000</v>
      </c>
      <c r="D1017">
        <v>15</v>
      </c>
    </row>
    <row r="1018" spans="1:4" x14ac:dyDescent="0.25">
      <c r="A1018" t="str">
        <f>T("   850211")</f>
        <v xml:space="preserve">   850211</v>
      </c>
      <c r="B1018" t="s">
        <v>101</v>
      </c>
      <c r="C1018">
        <v>6383802</v>
      </c>
      <c r="D1018">
        <v>5762</v>
      </c>
    </row>
    <row r="1019" spans="1:4" x14ac:dyDescent="0.25">
      <c r="A1019" t="str">
        <f>T("   870422")</f>
        <v xml:space="preserve">   870422</v>
      </c>
      <c r="B1019" t="s">
        <v>109</v>
      </c>
      <c r="C1019">
        <v>246853</v>
      </c>
      <c r="D1019">
        <v>6958</v>
      </c>
    </row>
    <row r="1020" spans="1:4" x14ac:dyDescent="0.25">
      <c r="A1020" t="str">
        <f>T("   871120")</f>
        <v xml:space="preserve">   871120</v>
      </c>
      <c r="B1020" t="str">
        <f>T("   Motocycles à moteur à piston alternatif, cylindrée &gt; 50 cm³ mais &lt;= 250 cm³")</f>
        <v xml:space="preserve">   Motocycles à moteur à piston alternatif, cylindrée &gt; 50 cm³ mais &lt;= 250 cm³</v>
      </c>
      <c r="C1020">
        <v>22320000</v>
      </c>
      <c r="D1020">
        <v>15562</v>
      </c>
    </row>
    <row r="1021" spans="1:4" x14ac:dyDescent="0.25">
      <c r="A1021" t="str">
        <f>T("   940180")</f>
        <v xml:space="preserve">   940180</v>
      </c>
      <c r="B1021" t="str">
        <f>T("   Sièges, n.d.a.")</f>
        <v xml:space="preserve">   Sièges, n.d.a.</v>
      </c>
      <c r="C1021">
        <v>3238300</v>
      </c>
      <c r="D1021">
        <v>4200</v>
      </c>
    </row>
    <row r="1022" spans="1:4" x14ac:dyDescent="0.25">
      <c r="A1022" t="str">
        <f>T("   940360")</f>
        <v xml:space="preserve">   940360</v>
      </c>
      <c r="B1022" t="str">
        <f>T("   Meubles en bois (autres que pour bureaux, cuisines ou chambres à coucher et autres que sièges)")</f>
        <v xml:space="preserve">   Meubles en bois (autres que pour bureaux, cuisines ou chambres à coucher et autres que sièges)</v>
      </c>
      <c r="C1022">
        <v>1500000</v>
      </c>
      <c r="D1022">
        <v>1000</v>
      </c>
    </row>
    <row r="1023" spans="1:4" x14ac:dyDescent="0.25">
      <c r="A1023" t="str">
        <f>T("   940421")</f>
        <v xml:space="preserve">   940421</v>
      </c>
      <c r="B1023" t="str">
        <f>T("   Matelas en caoutchouc alvéolaire ou en matières plastiques alvéolaires")</f>
        <v xml:space="preserve">   Matelas en caoutchouc alvéolaire ou en matières plastiques alvéolaires</v>
      </c>
      <c r="C1023">
        <v>4267650</v>
      </c>
      <c r="D1023">
        <v>1400</v>
      </c>
    </row>
    <row r="1024" spans="1:4" x14ac:dyDescent="0.25">
      <c r="A1024" t="str">
        <f>T("   960329")</f>
        <v xml:space="preserve">   960329</v>
      </c>
      <c r="B1024"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1024">
        <v>150000</v>
      </c>
      <c r="D1024">
        <v>120</v>
      </c>
    </row>
    <row r="1025" spans="1:4" x14ac:dyDescent="0.25">
      <c r="A1025" t="str">
        <f>T("   970110")</f>
        <v xml:space="preserve">   970110</v>
      </c>
      <c r="B1025"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1025">
        <v>500000</v>
      </c>
      <c r="D1025">
        <v>175</v>
      </c>
    </row>
    <row r="1026" spans="1:4" x14ac:dyDescent="0.25">
      <c r="A1026" t="str">
        <f>T("TH")</f>
        <v>TH</v>
      </c>
      <c r="B1026" t="str">
        <f>T("Thaïlande")</f>
        <v>Thaïlande</v>
      </c>
    </row>
    <row r="1027" spans="1:4" x14ac:dyDescent="0.25">
      <c r="A1027" t="str">
        <f>T("   ZZ_Total_Produit_SH6")</f>
        <v xml:space="preserve">   ZZ_Total_Produit_SH6</v>
      </c>
      <c r="B1027" t="str">
        <f>T("   ZZ_Total_Produit_SH6")</f>
        <v xml:space="preserve">   ZZ_Total_Produit_SH6</v>
      </c>
      <c r="C1027">
        <v>866369362</v>
      </c>
      <c r="D1027">
        <v>2045707</v>
      </c>
    </row>
    <row r="1028" spans="1:4" x14ac:dyDescent="0.25">
      <c r="A1028" t="str">
        <f>T("   120710")</f>
        <v xml:space="preserve">   120710</v>
      </c>
      <c r="B1028" t="str">
        <f>T("   NOIX ET AMANDES DE PALMISTES")</f>
        <v xml:space="preserve">   NOIX ET AMANDES DE PALMISTES</v>
      </c>
      <c r="C1028">
        <v>151546067</v>
      </c>
      <c r="D1028">
        <v>3386</v>
      </c>
    </row>
    <row r="1029" spans="1:4" x14ac:dyDescent="0.25">
      <c r="A1029" t="str">
        <f>T("   520100")</f>
        <v xml:space="preserve">   520100</v>
      </c>
      <c r="B1029" t="str">
        <f>T("   COTON, NON-CARDÉ NI PEIGNÉ")</f>
        <v xml:space="preserve">   COTON, NON-CARDÉ NI PEIGNÉ</v>
      </c>
      <c r="C1029">
        <v>647662295</v>
      </c>
      <c r="D1029">
        <v>765601</v>
      </c>
    </row>
    <row r="1030" spans="1:4" x14ac:dyDescent="0.25">
      <c r="A1030" t="str">
        <f>T("   720429")</f>
        <v xml:space="preserve">   720429</v>
      </c>
      <c r="B1030"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030">
        <v>3600000</v>
      </c>
      <c r="D1030">
        <v>72000</v>
      </c>
    </row>
    <row r="1031" spans="1:4" x14ac:dyDescent="0.25">
      <c r="A1031" t="str">
        <f>T("   720430")</f>
        <v xml:space="preserve">   720430</v>
      </c>
      <c r="B1031"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031">
        <v>7143000</v>
      </c>
      <c r="D1031">
        <v>142860</v>
      </c>
    </row>
    <row r="1032" spans="1:4" x14ac:dyDescent="0.25">
      <c r="A1032" t="str">
        <f>T("   720449")</f>
        <v xml:space="preserve">   720449</v>
      </c>
      <c r="B1032" t="s">
        <v>75</v>
      </c>
      <c r="C1032">
        <v>52918000</v>
      </c>
      <c r="D1032">
        <v>1058360</v>
      </c>
    </row>
    <row r="1033" spans="1:4" x14ac:dyDescent="0.25">
      <c r="A1033" t="str">
        <f>T("   732399")</f>
        <v xml:space="preserve">   732399</v>
      </c>
      <c r="B1033" t="s">
        <v>83</v>
      </c>
      <c r="C1033">
        <v>3500000</v>
      </c>
      <c r="D1033">
        <v>3500</v>
      </c>
    </row>
    <row r="1034" spans="1:4" x14ac:dyDescent="0.25">
      <c r="A1034" t="str">
        <f>T("TM")</f>
        <v>TM</v>
      </c>
      <c r="B1034" t="str">
        <f>T("Turkménistan")</f>
        <v>Turkménistan</v>
      </c>
    </row>
    <row r="1035" spans="1:4" x14ac:dyDescent="0.25">
      <c r="A1035" t="str">
        <f>T("   ZZ_Total_Produit_SH6")</f>
        <v xml:space="preserve">   ZZ_Total_Produit_SH6</v>
      </c>
      <c r="B1035" t="str">
        <f>T("   ZZ_Total_Produit_SH6")</f>
        <v xml:space="preserve">   ZZ_Total_Produit_SH6</v>
      </c>
      <c r="C1035">
        <v>47228904</v>
      </c>
      <c r="D1035">
        <v>1044</v>
      </c>
    </row>
    <row r="1036" spans="1:4" x14ac:dyDescent="0.25">
      <c r="A1036" t="str">
        <f>T("   120710")</f>
        <v xml:space="preserve">   120710</v>
      </c>
      <c r="B1036" t="str">
        <f>T("   NOIX ET AMANDES DE PALMISTES")</f>
        <v xml:space="preserve">   NOIX ET AMANDES DE PALMISTES</v>
      </c>
      <c r="C1036">
        <v>47228904</v>
      </c>
      <c r="D1036">
        <v>1044</v>
      </c>
    </row>
    <row r="1037" spans="1:4" x14ac:dyDescent="0.25">
      <c r="A1037" t="str">
        <f>T("TN")</f>
        <v>TN</v>
      </c>
      <c r="B1037" t="str">
        <f>T("Tunisie")</f>
        <v>Tunisie</v>
      </c>
    </row>
    <row r="1038" spans="1:4" x14ac:dyDescent="0.25">
      <c r="A1038" t="str">
        <f>T("   ZZ_Total_Produit_SH6")</f>
        <v xml:space="preserve">   ZZ_Total_Produit_SH6</v>
      </c>
      <c r="B1038" t="str">
        <f>T("   ZZ_Total_Produit_SH6")</f>
        <v xml:space="preserve">   ZZ_Total_Produit_SH6</v>
      </c>
      <c r="C1038">
        <v>1000000</v>
      </c>
      <c r="D1038">
        <v>1100</v>
      </c>
    </row>
    <row r="1039" spans="1:4" x14ac:dyDescent="0.25">
      <c r="A1039" t="str">
        <f>T("   870322")</f>
        <v xml:space="preserve">   870322</v>
      </c>
      <c r="B1039" t="s">
        <v>103</v>
      </c>
      <c r="C1039">
        <v>1000000</v>
      </c>
      <c r="D1039">
        <v>1100</v>
      </c>
    </row>
    <row r="1040" spans="1:4" x14ac:dyDescent="0.25">
      <c r="A1040" t="str">
        <f>T("TR")</f>
        <v>TR</v>
      </c>
      <c r="B1040" t="str">
        <f>T("Turquie")</f>
        <v>Turquie</v>
      </c>
    </row>
    <row r="1041" spans="1:4" x14ac:dyDescent="0.25">
      <c r="A1041" t="str">
        <f>T("   ZZ_Total_Produit_SH6")</f>
        <v xml:space="preserve">   ZZ_Total_Produit_SH6</v>
      </c>
      <c r="B1041" t="str">
        <f>T("   ZZ_Total_Produit_SH6")</f>
        <v xml:space="preserve">   ZZ_Total_Produit_SH6</v>
      </c>
      <c r="C1041">
        <v>153216204</v>
      </c>
      <c r="D1041">
        <v>3125343</v>
      </c>
    </row>
    <row r="1042" spans="1:4" x14ac:dyDescent="0.25">
      <c r="A1042" t="str">
        <f>T("   230690")</f>
        <v xml:space="preserve">   230690</v>
      </c>
      <c r="B1042" t="s">
        <v>26</v>
      </c>
      <c r="C1042">
        <v>152216204</v>
      </c>
      <c r="D1042">
        <v>3105343</v>
      </c>
    </row>
    <row r="1043" spans="1:4" x14ac:dyDescent="0.25">
      <c r="A1043" t="str">
        <f>T("   440799")</f>
        <v xml:space="preserve">   440799</v>
      </c>
      <c r="B1043" t="s">
        <v>49</v>
      </c>
      <c r="C1043">
        <v>1000000</v>
      </c>
      <c r="D1043">
        <v>20000</v>
      </c>
    </row>
    <row r="1044" spans="1:4" x14ac:dyDescent="0.25">
      <c r="A1044" t="str">
        <f>T("TW")</f>
        <v>TW</v>
      </c>
      <c r="B1044" t="str">
        <f>T("Taïwan, Province de Chine")</f>
        <v>Taïwan, Province de Chine</v>
      </c>
    </row>
    <row r="1045" spans="1:4" x14ac:dyDescent="0.25">
      <c r="A1045" t="str">
        <f>T("   ZZ_Total_Produit_SH6")</f>
        <v xml:space="preserve">   ZZ_Total_Produit_SH6</v>
      </c>
      <c r="B1045" t="str">
        <f>T("   ZZ_Total_Produit_SH6")</f>
        <v xml:space="preserve">   ZZ_Total_Produit_SH6</v>
      </c>
      <c r="C1045">
        <v>50456760</v>
      </c>
      <c r="D1045">
        <v>145660</v>
      </c>
    </row>
    <row r="1046" spans="1:4" x14ac:dyDescent="0.25">
      <c r="A1046" t="str">
        <f>T("   520100")</f>
        <v xml:space="preserve">   520100</v>
      </c>
      <c r="B1046" t="str">
        <f>T("   COTON, NON-CARDÉ NI PEIGNÉ")</f>
        <v xml:space="preserve">   COTON, NON-CARDÉ NI PEIGNÉ</v>
      </c>
      <c r="C1046">
        <v>49456760</v>
      </c>
      <c r="D1046">
        <v>125660</v>
      </c>
    </row>
    <row r="1047" spans="1:4" x14ac:dyDescent="0.25">
      <c r="A1047" t="str">
        <f>T("   720429")</f>
        <v xml:space="preserve">   720429</v>
      </c>
      <c r="B1047"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047">
        <v>500000</v>
      </c>
      <c r="D1047">
        <v>10000</v>
      </c>
    </row>
    <row r="1048" spans="1:4" x14ac:dyDescent="0.25">
      <c r="A1048" t="str">
        <f>T("   720430")</f>
        <v xml:space="preserve">   720430</v>
      </c>
      <c r="B1048"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048">
        <v>500000</v>
      </c>
      <c r="D1048">
        <v>10000</v>
      </c>
    </row>
    <row r="1049" spans="1:4" x14ac:dyDescent="0.25">
      <c r="A1049" t="str">
        <f>T("TZ")</f>
        <v>TZ</v>
      </c>
      <c r="B1049" t="str">
        <f>T("Tanzanie")</f>
        <v>Tanzanie</v>
      </c>
    </row>
    <row r="1050" spans="1:4" x14ac:dyDescent="0.25">
      <c r="A1050" t="str">
        <f>T("   ZZ_Total_Produit_SH6")</f>
        <v xml:space="preserve">   ZZ_Total_Produit_SH6</v>
      </c>
      <c r="B1050" t="str">
        <f>T("   ZZ_Total_Produit_SH6")</f>
        <v xml:space="preserve">   ZZ_Total_Produit_SH6</v>
      </c>
      <c r="C1050">
        <v>1500000</v>
      </c>
      <c r="D1050">
        <v>1500</v>
      </c>
    </row>
    <row r="1051" spans="1:4" x14ac:dyDescent="0.25">
      <c r="A1051" t="str">
        <f>T("   940380")</f>
        <v xml:space="preserve">   940380</v>
      </c>
      <c r="B1051" t="str">
        <f>T("   Meubles en rotin, osier, bambou ou autres matières (sauf métal, bois et matières plastiques)")</f>
        <v xml:space="preserve">   Meubles en rotin, osier, bambou ou autres matières (sauf métal, bois et matières plastiques)</v>
      </c>
      <c r="C1051">
        <v>1500000</v>
      </c>
      <c r="D1051">
        <v>1500</v>
      </c>
    </row>
    <row r="1052" spans="1:4" x14ac:dyDescent="0.25">
      <c r="A1052" t="str">
        <f>T("UG")</f>
        <v>UG</v>
      </c>
      <c r="B1052" t="str">
        <f>T("Ouganda")</f>
        <v>Ouganda</v>
      </c>
    </row>
    <row r="1053" spans="1:4" x14ac:dyDescent="0.25">
      <c r="A1053" t="str">
        <f>T("   ZZ_Total_Produit_SH6")</f>
        <v xml:space="preserve">   ZZ_Total_Produit_SH6</v>
      </c>
      <c r="B1053" t="str">
        <f>T("   ZZ_Total_Produit_SH6")</f>
        <v xml:space="preserve">   ZZ_Total_Produit_SH6</v>
      </c>
      <c r="C1053">
        <v>77691450</v>
      </c>
      <c r="D1053">
        <v>30305</v>
      </c>
    </row>
    <row r="1054" spans="1:4" x14ac:dyDescent="0.25">
      <c r="A1054" t="str">
        <f>T("   842940")</f>
        <v xml:space="preserve">   842940</v>
      </c>
      <c r="B1054" t="str">
        <f>T("   Rouleaux compresseurs et autres compacteuses, autopropulsés")</f>
        <v xml:space="preserve">   Rouleaux compresseurs et autres compacteuses, autopropulsés</v>
      </c>
      <c r="C1054">
        <v>58410076</v>
      </c>
      <c r="D1054">
        <v>20486</v>
      </c>
    </row>
    <row r="1055" spans="1:4" x14ac:dyDescent="0.25">
      <c r="A1055" t="str">
        <f>T("   847420")</f>
        <v xml:space="preserve">   847420</v>
      </c>
      <c r="B1055" t="str">
        <f>T("   Machines et appareils à concasser, broyer ou pulvériser les matières minérales solides")</f>
        <v xml:space="preserve">   Machines et appareils à concasser, broyer ou pulvériser les matières minérales solides</v>
      </c>
      <c r="C1055">
        <v>13415537</v>
      </c>
      <c r="D1055">
        <v>7307</v>
      </c>
    </row>
    <row r="1056" spans="1:4" x14ac:dyDescent="0.25">
      <c r="A1056" t="str">
        <f>T("   847490")</f>
        <v xml:space="preserve">   847490</v>
      </c>
      <c r="B1056" t="str">
        <f>T("   Parties des machines et appareils pour le travail des matières minérales du n° 8474, n.d.a.")</f>
        <v xml:space="preserve">   Parties des machines et appareils pour le travail des matières minérales du n° 8474, n.d.a.</v>
      </c>
      <c r="C1056">
        <v>2117210</v>
      </c>
      <c r="D1056">
        <v>1227</v>
      </c>
    </row>
    <row r="1057" spans="1:4" x14ac:dyDescent="0.25">
      <c r="A1057" t="str">
        <f>T("   854420")</f>
        <v xml:space="preserve">   854420</v>
      </c>
      <c r="B1057" t="str">
        <f>T("   Câbles coaxiaux et autres conducteurs électriques coaxiaux, isolés")</f>
        <v xml:space="preserve">   Câbles coaxiaux et autres conducteurs électriques coaxiaux, isolés</v>
      </c>
      <c r="C1057">
        <v>3748627</v>
      </c>
      <c r="D1057">
        <v>1285</v>
      </c>
    </row>
    <row r="1058" spans="1:4" x14ac:dyDescent="0.25">
      <c r="A1058" t="str">
        <f>T("US")</f>
        <v>US</v>
      </c>
      <c r="B1058" t="str">
        <f>T("Etats-Unis")</f>
        <v>Etats-Unis</v>
      </c>
    </row>
    <row r="1059" spans="1:4" x14ac:dyDescent="0.25">
      <c r="A1059" t="str">
        <f>T("   ZZ_Total_Produit_SH6")</f>
        <v xml:space="preserve">   ZZ_Total_Produit_SH6</v>
      </c>
      <c r="B1059" t="str">
        <f>T("   ZZ_Total_Produit_SH6")</f>
        <v xml:space="preserve">   ZZ_Total_Produit_SH6</v>
      </c>
      <c r="C1059">
        <v>965761675</v>
      </c>
      <c r="D1059">
        <v>329386.5</v>
      </c>
    </row>
    <row r="1060" spans="1:4" x14ac:dyDescent="0.25">
      <c r="A1060" t="str">
        <f>T("   080211")</f>
        <v xml:space="preserve">   080211</v>
      </c>
      <c r="B1060" t="str">
        <f>T("   Amandes, fraîches ou sèches, en coques")</f>
        <v xml:space="preserve">   Amandes, fraîches ou sèches, en coques</v>
      </c>
      <c r="C1060">
        <v>694303976</v>
      </c>
      <c r="D1060">
        <v>232932</v>
      </c>
    </row>
    <row r="1061" spans="1:4" x14ac:dyDescent="0.25">
      <c r="A1061" t="str">
        <f>T("   110620")</f>
        <v xml:space="preserve">   110620</v>
      </c>
      <c r="B1061" t="str">
        <f>T("   Farines, semoules et poudres de sagou ou des racines ou tubercules du n° 0714")</f>
        <v xml:space="preserve">   Farines, semoules et poudres de sagou ou des racines ou tubercules du n° 0714</v>
      </c>
      <c r="C1061">
        <v>650000</v>
      </c>
      <c r="D1061">
        <v>13000</v>
      </c>
    </row>
    <row r="1062" spans="1:4" x14ac:dyDescent="0.25">
      <c r="A1062" t="str">
        <f>T("   151590")</f>
        <v xml:space="preserve">   151590</v>
      </c>
      <c r="B1062" t="s">
        <v>22</v>
      </c>
      <c r="C1062">
        <v>16755977</v>
      </c>
      <c r="D1062">
        <v>13672</v>
      </c>
    </row>
    <row r="1063" spans="1:4" x14ac:dyDescent="0.25">
      <c r="A1063" t="str">
        <f>T("   620590")</f>
        <v xml:space="preserve">   620590</v>
      </c>
      <c r="B106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63">
        <v>2650000</v>
      </c>
      <c r="D1063">
        <v>6909.5</v>
      </c>
    </row>
    <row r="1064" spans="1:4" x14ac:dyDescent="0.25">
      <c r="A1064" t="str">
        <f>T("   621040")</f>
        <v xml:space="preserve">   621040</v>
      </c>
      <c r="B1064" t="s">
        <v>61</v>
      </c>
      <c r="C1064">
        <v>1500000</v>
      </c>
      <c r="D1064">
        <v>1895</v>
      </c>
    </row>
    <row r="1065" spans="1:4" x14ac:dyDescent="0.25">
      <c r="A1065" t="str">
        <f>T("   621050")</f>
        <v xml:space="preserve">   621050</v>
      </c>
      <c r="B1065" t="s">
        <v>62</v>
      </c>
      <c r="C1065">
        <v>3054570</v>
      </c>
      <c r="D1065">
        <v>3767</v>
      </c>
    </row>
    <row r="1066" spans="1:4" x14ac:dyDescent="0.25">
      <c r="A1066" t="str">
        <f>T("   700529")</f>
        <v xml:space="preserve">   700529</v>
      </c>
      <c r="B1066" t="s">
        <v>72</v>
      </c>
      <c r="C1066">
        <v>1851672</v>
      </c>
      <c r="D1066">
        <v>1459</v>
      </c>
    </row>
    <row r="1067" spans="1:4" x14ac:dyDescent="0.25">
      <c r="A1067" t="str">
        <f>T("   720429")</f>
        <v xml:space="preserve">   720429</v>
      </c>
      <c r="B1067"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067">
        <v>500000</v>
      </c>
      <c r="D1067">
        <v>10000</v>
      </c>
    </row>
    <row r="1068" spans="1:4" x14ac:dyDescent="0.25">
      <c r="A1068" t="str">
        <f>T("   732394")</f>
        <v xml:space="preserve">   732394</v>
      </c>
      <c r="B1068" t="s">
        <v>82</v>
      </c>
      <c r="C1068">
        <v>1410000</v>
      </c>
      <c r="D1068">
        <v>3717</v>
      </c>
    </row>
    <row r="1069" spans="1:4" x14ac:dyDescent="0.25">
      <c r="A1069" t="str">
        <f>T("   840890")</f>
        <v xml:space="preserve">   840890</v>
      </c>
      <c r="B1069" t="s">
        <v>92</v>
      </c>
      <c r="C1069">
        <v>65494913</v>
      </c>
      <c r="D1069">
        <v>3770</v>
      </c>
    </row>
    <row r="1070" spans="1:4" x14ac:dyDescent="0.25">
      <c r="A1070" t="str">
        <f>T("   870323")</f>
        <v xml:space="preserve">   870323</v>
      </c>
      <c r="B1070" t="s">
        <v>104</v>
      </c>
      <c r="C1070">
        <v>12117271</v>
      </c>
      <c r="D1070">
        <v>5042</v>
      </c>
    </row>
    <row r="1071" spans="1:4" x14ac:dyDescent="0.25">
      <c r="A1071" t="str">
        <f>T("   902300")</f>
        <v xml:space="preserve">   902300</v>
      </c>
      <c r="B1071" t="s">
        <v>115</v>
      </c>
      <c r="C1071">
        <v>2590000</v>
      </c>
      <c r="D1071">
        <v>5000</v>
      </c>
    </row>
    <row r="1072" spans="1:4" x14ac:dyDescent="0.25">
      <c r="A1072" t="str">
        <f>T("   940330")</f>
        <v xml:space="preserve">   940330</v>
      </c>
      <c r="B1072" t="str">
        <f>T("   Meubles de bureau en bois (sauf sièges)")</f>
        <v xml:space="preserve">   Meubles de bureau en bois (sauf sièges)</v>
      </c>
      <c r="C1072">
        <v>1209384</v>
      </c>
      <c r="D1072">
        <v>1173</v>
      </c>
    </row>
    <row r="1073" spans="1:4" x14ac:dyDescent="0.25">
      <c r="A1073" t="str">
        <f>T("   940350")</f>
        <v xml:space="preserve">   940350</v>
      </c>
      <c r="B1073" t="str">
        <f>T("   Meubles pour chambres à coucher, en bois (sauf sièges)")</f>
        <v xml:space="preserve">   Meubles pour chambres à coucher, en bois (sauf sièges)</v>
      </c>
      <c r="C1073">
        <v>700000</v>
      </c>
      <c r="D1073">
        <v>550</v>
      </c>
    </row>
    <row r="1074" spans="1:4" x14ac:dyDescent="0.25">
      <c r="A1074" t="str">
        <f>T("   940360")</f>
        <v xml:space="preserve">   940360</v>
      </c>
      <c r="B1074" t="str">
        <f>T("   Meubles en bois (autres que pour bureaux, cuisines ou chambres à coucher et autres que sièges)")</f>
        <v xml:space="preserve">   Meubles en bois (autres que pour bureaux, cuisines ou chambres à coucher et autres que sièges)</v>
      </c>
      <c r="C1074">
        <v>159473912</v>
      </c>
      <c r="D1074">
        <v>24500</v>
      </c>
    </row>
    <row r="1075" spans="1:4" x14ac:dyDescent="0.25">
      <c r="A1075" t="str">
        <f>T("   940380")</f>
        <v xml:space="preserve">   940380</v>
      </c>
      <c r="B1075" t="str">
        <f>T("   Meubles en rotin, osier, bambou ou autres matières (sauf métal, bois et matières plastiques)")</f>
        <v xml:space="preserve">   Meubles en rotin, osier, bambou ou autres matières (sauf métal, bois et matières plastiques)</v>
      </c>
      <c r="C1075">
        <v>1500000</v>
      </c>
      <c r="D1075">
        <v>2000</v>
      </c>
    </row>
    <row r="1076" spans="1:4" x14ac:dyDescent="0.25">
      <c r="A1076" t="str">
        <f>T("VN")</f>
        <v>VN</v>
      </c>
      <c r="B1076" t="str">
        <f>T("Vietnam")</f>
        <v>Vietnam</v>
      </c>
    </row>
    <row r="1077" spans="1:4" x14ac:dyDescent="0.25">
      <c r="A1077" t="str">
        <f>T("   ZZ_Total_Produit_SH6")</f>
        <v xml:space="preserve">   ZZ_Total_Produit_SH6</v>
      </c>
      <c r="B1077" t="str">
        <f>T("   ZZ_Total_Produit_SH6")</f>
        <v xml:space="preserve">   ZZ_Total_Produit_SH6</v>
      </c>
      <c r="C1077">
        <v>2602837285</v>
      </c>
      <c r="D1077">
        <v>16560826</v>
      </c>
    </row>
    <row r="1078" spans="1:4" x14ac:dyDescent="0.25">
      <c r="A1078" t="str">
        <f>T("   080131")</f>
        <v xml:space="preserve">   080131</v>
      </c>
      <c r="B1078" t="str">
        <f>T("   Noix de cajou, fraîches ou sèches, en coques")</f>
        <v xml:space="preserve">   Noix de cajou, fraîches ou sèches, en coques</v>
      </c>
      <c r="C1078">
        <v>1610581801</v>
      </c>
      <c r="D1078">
        <v>5738788</v>
      </c>
    </row>
    <row r="1079" spans="1:4" x14ac:dyDescent="0.25">
      <c r="A1079" t="str">
        <f>T("   440399")</f>
        <v xml:space="preserve">   440399</v>
      </c>
      <c r="B1079" t="s">
        <v>47</v>
      </c>
      <c r="C1079">
        <v>12473000</v>
      </c>
      <c r="D1079">
        <v>249460</v>
      </c>
    </row>
    <row r="1080" spans="1:4" x14ac:dyDescent="0.25">
      <c r="A1080" t="str">
        <f>T("   440690")</f>
        <v xml:space="preserve">   440690</v>
      </c>
      <c r="B1080" t="str">
        <f>T("   Traverses en bois, pour voies ferrées ou simil., imprégnées")</f>
        <v xml:space="preserve">   Traverses en bois, pour voies ferrées ou simil., imprégnées</v>
      </c>
      <c r="C1080">
        <v>500000</v>
      </c>
      <c r="D1080">
        <v>10000</v>
      </c>
    </row>
    <row r="1081" spans="1:4" x14ac:dyDescent="0.25">
      <c r="A1081" t="str">
        <f>T("   440799")</f>
        <v xml:space="preserve">   440799</v>
      </c>
      <c r="B1081" t="s">
        <v>49</v>
      </c>
      <c r="C1081">
        <v>3000000</v>
      </c>
      <c r="D1081">
        <v>196000</v>
      </c>
    </row>
    <row r="1082" spans="1:4" x14ac:dyDescent="0.25">
      <c r="A1082" t="str">
        <f>T("   520100")</f>
        <v xml:space="preserve">   520100</v>
      </c>
      <c r="B1082" t="str">
        <f>T("   COTON, NON-CARDÉ NI PEIGNÉ")</f>
        <v xml:space="preserve">   COTON, NON-CARDÉ NI PEIGNÉ</v>
      </c>
      <c r="C1082">
        <v>643751484</v>
      </c>
      <c r="D1082">
        <v>710958</v>
      </c>
    </row>
    <row r="1083" spans="1:4" x14ac:dyDescent="0.25">
      <c r="A1083" t="str">
        <f>T("   720429")</f>
        <v xml:space="preserve">   720429</v>
      </c>
      <c r="B1083"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083">
        <v>139100000</v>
      </c>
      <c r="D1083">
        <v>2802000</v>
      </c>
    </row>
    <row r="1084" spans="1:4" x14ac:dyDescent="0.25">
      <c r="A1084" t="str">
        <f>T("   720430")</f>
        <v xml:space="preserve">   720430</v>
      </c>
      <c r="B1084"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084">
        <v>50832000</v>
      </c>
      <c r="D1084">
        <v>1686640</v>
      </c>
    </row>
    <row r="1085" spans="1:4" x14ac:dyDescent="0.25">
      <c r="A1085" t="str">
        <f>T("   720449")</f>
        <v xml:space="preserve">   720449</v>
      </c>
      <c r="B1085" t="s">
        <v>75</v>
      </c>
      <c r="C1085">
        <v>139099000</v>
      </c>
      <c r="D1085">
        <v>4846980</v>
      </c>
    </row>
    <row r="1086" spans="1:4" x14ac:dyDescent="0.25">
      <c r="A1086" t="str">
        <f>T("   720529")</f>
        <v xml:space="preserve">   720529</v>
      </c>
      <c r="B1086" t="str">
        <f>T("   Poudres de fonte brute, de fonte spiegel, de fer ou d'aciers non alliés (autres que les poudres de ferro-alliages et les isotopes radioactifs de poudre de fer)")</f>
        <v xml:space="preserve">   Poudres de fonte brute, de fonte spiegel, de fer ou d'aciers non alliés (autres que les poudres de ferro-alliages et les isotopes radioactifs de poudre de fer)</v>
      </c>
      <c r="C1086">
        <v>3500000</v>
      </c>
      <c r="D1086">
        <v>320000</v>
      </c>
    </row>
    <row r="1087" spans="1:4" x14ac:dyDescent="0.25">
      <c r="A1087" t="str">
        <f>T("ZA")</f>
        <v>ZA</v>
      </c>
      <c r="B1087" t="str">
        <f>T("Afrique du Sud")</f>
        <v>Afrique du Sud</v>
      </c>
    </row>
    <row r="1088" spans="1:4" x14ac:dyDescent="0.25">
      <c r="A1088" t="str">
        <f>T("   ZZ_Total_Produit_SH6")</f>
        <v xml:space="preserve">   ZZ_Total_Produit_SH6</v>
      </c>
      <c r="B1088" t="str">
        <f>T("   ZZ_Total_Produit_SH6")</f>
        <v xml:space="preserve">   ZZ_Total_Produit_SH6</v>
      </c>
      <c r="C1088">
        <v>497850450</v>
      </c>
      <c r="D1088">
        <v>7163293</v>
      </c>
    </row>
    <row r="1089" spans="1:4" x14ac:dyDescent="0.25">
      <c r="A1089" t="str">
        <f>T("   230610")</f>
        <v xml:space="preserve">   230610</v>
      </c>
      <c r="B1089"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089">
        <v>297215795</v>
      </c>
      <c r="D1089">
        <v>4666948</v>
      </c>
    </row>
    <row r="1090" spans="1:4" x14ac:dyDescent="0.25">
      <c r="A1090" t="str">
        <f>T("   230690")</f>
        <v xml:space="preserve">   230690</v>
      </c>
      <c r="B1090" t="s">
        <v>26</v>
      </c>
      <c r="C1090">
        <v>107346702</v>
      </c>
      <c r="D1090">
        <v>2293782</v>
      </c>
    </row>
    <row r="1091" spans="1:4" x14ac:dyDescent="0.25">
      <c r="A1091" t="str">
        <f>T("   271019")</f>
        <v xml:space="preserve">   271019</v>
      </c>
      <c r="B1091" t="str">
        <f>T("   Huiles moyennes et préparations, de pétrole ou de minéraux bitumineux, n.d.a.")</f>
        <v xml:space="preserve">   Huiles moyennes et préparations, de pétrole ou de minéraux bitumineux, n.d.a.</v>
      </c>
      <c r="C1091">
        <v>82289432</v>
      </c>
      <c r="D1091">
        <v>193384</v>
      </c>
    </row>
    <row r="1092" spans="1:4" x14ac:dyDescent="0.25">
      <c r="A1092" t="str">
        <f>T("   852540")</f>
        <v xml:space="preserve">   852540</v>
      </c>
      <c r="B1092" t="str">
        <f>T("   Appareils de prise de vues fixes vidéo et autres caméscopes; appareils photographiques numériques")</f>
        <v xml:space="preserve">   Appareils de prise de vues fixes vidéo et autres caméscopes; appareils photographiques numériques</v>
      </c>
      <c r="C1092">
        <v>9523521</v>
      </c>
      <c r="D1092">
        <v>5529</v>
      </c>
    </row>
    <row r="1093" spans="1:4" x14ac:dyDescent="0.25">
      <c r="A1093" t="str">
        <f>T("   940360")</f>
        <v xml:space="preserve">   940360</v>
      </c>
      <c r="B1093" t="str">
        <f>T("   Meubles en bois (autres que pour bureaux, cuisines ou chambres à coucher et autres que sièges)")</f>
        <v xml:space="preserve">   Meubles en bois (autres que pour bureaux, cuisines ou chambres à coucher et autres que sièges)</v>
      </c>
      <c r="C1093">
        <v>1475000</v>
      </c>
      <c r="D1093">
        <v>3650</v>
      </c>
    </row>
    <row r="1094" spans="1:4" s="1" customFormat="1" x14ac:dyDescent="0.25">
      <c r="A1094" s="1" t="str">
        <f>T("   ZZ_Total_Produit_SH6")</f>
        <v xml:space="preserve">   ZZ_Total_Produit_SH6</v>
      </c>
      <c r="B1094" s="1" t="str">
        <f>T("   ZZ_Total_Produit_SH6")</f>
        <v xml:space="preserve">   ZZ_Total_Produit_SH6</v>
      </c>
      <c r="C1094" s="1">
        <v>189281501840</v>
      </c>
      <c r="D1094" s="1">
        <v>766867329.38</v>
      </c>
    </row>
    <row r="1096" spans="1:4" x14ac:dyDescent="0.25">
      <c r="A1096" t="s">
        <v>119</v>
      </c>
    </row>
    <row r="1097" spans="1:4" x14ac:dyDescent="0.25">
      <c r="A1097" t="s">
        <v>120</v>
      </c>
    </row>
    <row r="1098" spans="1:4" x14ac:dyDescent="0.25">
      <c r="A1098" t="s">
        <v>121</v>
      </c>
    </row>
  </sheetData>
  <pageMargins left="0.7" right="0.7" top="0.75" bottom="0.75" header="0.3" footer="0.3"/>
</worksheet>
</file>